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35" windowHeight="7425" activeTab="0"/>
  </bookViews>
  <sheets>
    <sheet name="5 Yr Cash Flow Forecast" sheetId="1" r:id="rId1"/>
  </sheets>
  <definedNames>
    <definedName name="_xlnm.Print_Area" localSheetId="0">'5 Yr Cash Flow Forecast'!$A$1:$M$167</definedName>
  </definedNames>
  <calcPr fullCalcOnLoad="1"/>
</workbook>
</file>

<file path=xl/sharedStrings.xml><?xml version="1.0" encoding="utf-8"?>
<sst xmlns="http://schemas.openxmlformats.org/spreadsheetml/2006/main" count="228" uniqueCount="141">
  <si>
    <t xml:space="preserve">Updated: 25 August 2003 </t>
  </si>
  <si>
    <t>CRC LEME</t>
  </si>
  <si>
    <t>Five Year Cash Flow Forecast</t>
  </si>
  <si>
    <t>for the Period from 1 July 2003 to 30 June 2008</t>
  </si>
  <si>
    <t>YEAR 1</t>
  </si>
  <si>
    <t>YEAR 2</t>
  </si>
  <si>
    <t>YEAR 3</t>
  </si>
  <si>
    <t>YEAR 4</t>
  </si>
  <si>
    <t>YEAR 5</t>
  </si>
  <si>
    <t>YEAR 6</t>
  </si>
  <si>
    <t>YEAR 7</t>
  </si>
  <si>
    <t>TOTAL</t>
  </si>
  <si>
    <t>2003/04</t>
  </si>
  <si>
    <t>2004/05</t>
  </si>
  <si>
    <t>2005/06</t>
  </si>
  <si>
    <t>2006/07</t>
  </si>
  <si>
    <t>2007/08</t>
  </si>
  <si>
    <t>$'000</t>
  </si>
  <si>
    <t>Actual</t>
  </si>
  <si>
    <t>Budget</t>
  </si>
  <si>
    <t>CASH  INFLOW</t>
  </si>
  <si>
    <t>INCOME</t>
  </si>
  <si>
    <t>Note</t>
  </si>
  <si>
    <t>COMMITTED CASH FROM CORE PARTICIPANTS:</t>
  </si>
  <si>
    <t xml:space="preserve"> </t>
  </si>
  <si>
    <t xml:space="preserve">   NSW DMR</t>
  </si>
  <si>
    <t xml:space="preserve">   BRS</t>
  </si>
  <si>
    <t xml:space="preserve">   MCA</t>
  </si>
  <si>
    <t>UNTIED CASH FROM CORE PARTICIPANTS:</t>
  </si>
  <si>
    <t xml:space="preserve">   CSIRO</t>
  </si>
  <si>
    <t xml:space="preserve">   GA</t>
  </si>
  <si>
    <t xml:space="preserve">   ANU</t>
  </si>
  <si>
    <t>A</t>
  </si>
  <si>
    <t xml:space="preserve">   CURTIN</t>
  </si>
  <si>
    <t xml:space="preserve">   ADELAIDE</t>
  </si>
  <si>
    <t>CASH FROM SUPPORTING PARTICIPANT: WA STATE GOVT</t>
  </si>
  <si>
    <t>PROJECTED EXTERNAL INCOME: SALINITY</t>
  </si>
  <si>
    <t xml:space="preserve">PROJECTED INCOME: COMMERCIAL PROJECTS (NTGS) </t>
  </si>
  <si>
    <t>INCOME FROM NEW RESEARCH OPPORTUNITIES</t>
  </si>
  <si>
    <t>BRS &amp; LEME1  CONSULTANCY CONTRACT</t>
  </si>
  <si>
    <t>CSIRO CONTRIBUTION: SALARY SUPPLEMENT OF CEO</t>
  </si>
  <si>
    <t>PROJECTED NET OPERATING RESULT: SALINITY PROJECTS</t>
  </si>
  <si>
    <t>B</t>
  </si>
  <si>
    <t>INTEREST INCOME</t>
  </si>
  <si>
    <t>BALANCE FROM LEME 1</t>
  </si>
  <si>
    <t>UNSECURED (PROJECTED) INDUSTRY INCOME: M/EXPLORATION</t>
  </si>
  <si>
    <t>C</t>
  </si>
  <si>
    <t>CRC GRANT</t>
  </si>
  <si>
    <t xml:space="preserve">   TOTAL INCOME</t>
  </si>
  <si>
    <t>BALANCE FROM PREVIOUS YEAR</t>
  </si>
  <si>
    <t>D</t>
  </si>
  <si>
    <t>CONTINGENCY RESERVE BROUGHT FORWARD</t>
  </si>
  <si>
    <t>TOTAL CASH AVAILABLE</t>
  </si>
  <si>
    <t>CASH  OUTFLOW</t>
  </si>
  <si>
    <t>EXPENDITURE</t>
  </si>
  <si>
    <t>CONTINGENCY RESERVE</t>
  </si>
  <si>
    <t xml:space="preserve">   STAFF UNDER  CONTRACTS (FINAL YR OF LEME 1)</t>
  </si>
  <si>
    <t xml:space="preserve">   STAFF AT VRU</t>
  </si>
  <si>
    <t xml:space="preserve">   STAFF UNDER BRS CONSULTANCY CONTRACT</t>
  </si>
  <si>
    <t>TOTAL CRC FUNDED &amp; INDUSTRY FUNDED SALARIES (NOT FOR SALINITY)</t>
  </si>
  <si>
    <t xml:space="preserve">   LEME 2  INDUSTRY FUNDED STAFF</t>
  </si>
  <si>
    <t xml:space="preserve">   STAFF EMPLOYED USING EXTERNAL SALINITY FUNDS</t>
  </si>
  <si>
    <t xml:space="preserve">   STAFF EMPLOYED USING NSW DMR FUNDS</t>
  </si>
  <si>
    <t xml:space="preserve">   STAFF EMPLOYED BY BRS CASH CONTRIBUTION</t>
  </si>
  <si>
    <t xml:space="preserve">   STAFF EMPLOYED USING MCA FUNDS</t>
  </si>
  <si>
    <t xml:space="preserve">   ONGOING CASH FUNDED PROGRAM LEADERS (ASSUME 2)</t>
  </si>
  <si>
    <t>OPERATING EXPENDITURE:-</t>
  </si>
  <si>
    <t xml:space="preserve">   LEME2 SET UP COSTS</t>
  </si>
  <si>
    <t xml:space="preserve">   HEADQUARTERS' MANAGEMENT BUDGET</t>
  </si>
  <si>
    <t xml:space="preserve">   OPERATING COSTS FOR INDUSTRY FUNDED PROJECTS</t>
  </si>
  <si>
    <t xml:space="preserve">   OPERATING COSTS FOR VRU</t>
  </si>
  <si>
    <t xml:space="preserve">   OPERATING COSTS USING EXTERNAL SALINITY FUNDS</t>
  </si>
  <si>
    <t xml:space="preserve">   OPERATING COSTS: NSW DMR PROJECTS</t>
  </si>
  <si>
    <t xml:space="preserve">   BRS &amp; LEME1 CONSULTANCY CONTRACT</t>
  </si>
  <si>
    <t xml:space="preserve">   OPERATING COSTS:  BRS CASH CONTRIBUTION</t>
  </si>
  <si>
    <t xml:space="preserve">   COMMITTED  COSTS:  BRS CASH CONTRIBUTION</t>
  </si>
  <si>
    <t xml:space="preserve">   OPERATING COSTS: MTEC</t>
  </si>
  <si>
    <t xml:space="preserve">   OPERATING FUNDS FOR NON-SALINITY RESEARCH PROJECTS</t>
  </si>
  <si>
    <t>E</t>
  </si>
  <si>
    <t xml:space="preserve">    TIED EXPENDITURES: WA STATE GOVT FUNDS (CSIRO &amp; CURTIN)</t>
  </si>
  <si>
    <t xml:space="preserve">   STRATEGIC PLANNING WORKSHOP</t>
  </si>
  <si>
    <t xml:space="preserve">   EXIT STRATEGY PROVISION</t>
  </si>
  <si>
    <t xml:space="preserve">   ADVERTISING AND RECRUITMENT COSTS </t>
  </si>
  <si>
    <t xml:space="preserve">   OPERATING &amp; TRAVEL COSTS - OPERATIONS MANAGER</t>
  </si>
  <si>
    <t xml:space="preserve">   CONFERENCE SUPPORT - 16TH AGC</t>
  </si>
  <si>
    <t xml:space="preserve">   CHRISTMAS FUNCTION</t>
  </si>
  <si>
    <t xml:space="preserve">   WEB UPDATE</t>
  </si>
  <si>
    <t xml:space="preserve">  ANNUAL REPORT</t>
  </si>
  <si>
    <t xml:space="preserve">   FEE CHARGED BY FACILITATOR</t>
  </si>
  <si>
    <t>TOTAL OPERATING</t>
  </si>
  <si>
    <t>SCHOLARSHIP:-</t>
  </si>
  <si>
    <t xml:space="preserve">   LEME1  COMMITTED SCHOLARSHIP (INC. OP SUPPORT)</t>
  </si>
  <si>
    <t xml:space="preserve">   LEME2 NEW PhD SCHOLARSHIP: </t>
  </si>
  <si>
    <t xml:space="preserve">      STIPEND OF $18K p.a. PER STUDENT </t>
  </si>
  <si>
    <t xml:space="preserve">      OPERATING SUPPORT OF $10K p.a. PER STUDENT</t>
  </si>
  <si>
    <t xml:space="preserve">   LEME2 HONOURS SCHOLARSHIP:-</t>
  </si>
  <si>
    <t xml:space="preserve">      STIPEND OF $5K p.a. PER STUDENT </t>
  </si>
  <si>
    <t xml:space="preserve">      OPERATING SUPPORT OF $5K p.a. PER STUDENT</t>
  </si>
  <si>
    <t xml:space="preserve">   PHD SCHOLARSHIP EXTENSIONS</t>
  </si>
  <si>
    <t xml:space="preserve">   SCHOLARSHIP SPECIAL RESERVE  FUNDS (SAVINGS)</t>
  </si>
  <si>
    <t>F</t>
  </si>
  <si>
    <t>TOTAL SCHOLARSHIP</t>
  </si>
  <si>
    <t xml:space="preserve">   TOTAL EXPENDITURE </t>
  </si>
  <si>
    <t xml:space="preserve">  CONTINGENCY RESERVE</t>
  </si>
  <si>
    <t xml:space="preserve">NET CASH BALANCE </t>
  </si>
  <si>
    <t>LESS CONTINGENCY RESERVE</t>
  </si>
  <si>
    <t>NET CASH BALANCE AFTER CONTINGENCY RESERVE</t>
  </si>
  <si>
    <t>EXPENDITURE  ANALYSIS</t>
  </si>
  <si>
    <t>IN-KIND SALARY  (INC ON-COSTS)</t>
  </si>
  <si>
    <t>TOTAL CASH SALARY  (INC ON-COSTS)</t>
  </si>
  <si>
    <t>TOTAL STIPEND  (PhD + HONOURS)</t>
  </si>
  <si>
    <t>TOTAL SALARY COST (IN-KIND + CASH + STIPEND)</t>
  </si>
  <si>
    <t>TOTAL OPERATING  COST</t>
  </si>
  <si>
    <t>NO SETUP &amp; EXIT</t>
  </si>
  <si>
    <t>OPT 2</t>
  </si>
  <si>
    <t>NO SETUP</t>
  </si>
  <si>
    <t>OPT 3</t>
  </si>
  <si>
    <t>RATIO OF OPERATING COST  VS  TOTAL SALARY</t>
  </si>
  <si>
    <t>CAPITAL BUDGET</t>
  </si>
  <si>
    <t>TOTAL EXPENDITURE</t>
  </si>
  <si>
    <t>TOTAL SALARY (INCLUDING STIPEND)</t>
  </si>
  <si>
    <t>TOTAL CAPITAL</t>
  </si>
  <si>
    <t>N O T E S:</t>
  </si>
  <si>
    <t xml:space="preserve">A -  PROJECTED INCOME FROM COLLABORATIVE INDUSTRY PROJECTS </t>
  </si>
  <si>
    <t xml:space="preserve">       It is assumed that income from year 2 onwards will have an internal 10% profit margin.</t>
  </si>
  <si>
    <t>B -  SALARY: STAFF AT HEADQUARTERS</t>
  </si>
  <si>
    <t xml:space="preserve">       It is assumed that the annual salary increment is at the rate of 3%.</t>
  </si>
  <si>
    <t>C - SALARY: LEME 2  CASH FUNDED STAFF</t>
  </si>
  <si>
    <t>D - OPERATING COSTS SUPPORT: LEME2 RESEARCH STAFF</t>
  </si>
  <si>
    <t xml:space="preserve">       Yr1: $10K (for CRC funded researchers and In-Kind researchers of ANU, UC, AU, Curtin, CSIRO, AGSO &amp; BRS) vs $1.5K (for In-Kind researchers of NSW DMR &amp; PIRSA and for researchers externally funded by SMMSP, MTEC or Industry) </t>
  </si>
  <si>
    <t xml:space="preserve">       Yrs 2 - 5: $11K (for CRC funded researchers and In-Kind researchers of ANU, UC, AU, Curtin, CSIRO, AGSO &amp; BRS) vs $2K (for In-Kind researchers of NSW DMR &amp; PIRSA and for researchers externally funded by SMMSP, MTEC or Industry) </t>
  </si>
  <si>
    <t xml:space="preserve">Note: </t>
  </si>
  <si>
    <t>A: It is assumed that ANU would continue to contribute an additional cash contribution of $100K per annum over the life of the CRC.</t>
  </si>
  <si>
    <t xml:space="preserve">B: Both income and expenditures associated with salinity activities are quarantineed to ensure activities are self-funded, hence the </t>
  </si>
  <si>
    <t xml:space="preserve">     presentation of projected net operating result for Years 3 and 4 (Detailed Analysis is tabled in "Salinity Projects Analysis").</t>
  </si>
  <si>
    <t xml:space="preserve">C: Projected and unsecured Industry Income </t>
  </si>
  <si>
    <t>D: Carry over balance of $3.566M from Year 2 (2002/03) is confirmed.</t>
  </si>
  <si>
    <t xml:space="preserve">E: This amount excludes operating funds ($431K for 03/04) associated with salinity activities which are detailed </t>
  </si>
  <si>
    <t xml:space="preserve">     in the "Salinity Projects Analysis" and shown as above under "Projected Net Operating Result: Salinity Projects").</t>
  </si>
  <si>
    <t xml:space="preserve">     Total Amount of Operating Funds for Research Projects in 2003/04: $2.259M</t>
  </si>
  <si>
    <t>F: It is assumed that quarantineed savings ($1.038M) from Education &amp; Training are released to fund operations of CRC.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</si>
</sst>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0.00000"/>
    <numFmt numFmtId="176" formatCode="0.0000"/>
    <numFmt numFmtId="177" formatCode="0.000"/>
    <numFmt numFmtId="178" formatCode="0.000000"/>
    <numFmt numFmtId="179" formatCode="0.000%"/>
    <numFmt numFmtId="180" formatCode="d/m/yy"/>
    <numFmt numFmtId="181" formatCode="d/m/yy\ h:mm"/>
    <numFmt numFmtId="182" formatCode="#,##0.0_);[Red]\(#,##0.0\)"/>
    <numFmt numFmtId="183" formatCode="_(* #,##0.000_);_(* \(#,##0.000\);_(* &quot;-&quot;??_);_(@_)"/>
    <numFmt numFmtId="184" formatCode="_(* #,##0.0_);_(* \(#,##0.0\);_(* &quot;-&quot;??_);_(@_)"/>
    <numFmt numFmtId="185" formatCode="#,##0.000_);[Red]\(#,##0.000\)"/>
    <numFmt numFmtId="186" formatCode="#,##0.0000_);[Red]\(#,##0.0000\)"/>
    <numFmt numFmtId="187" formatCode="#,##0.00000_);[Red]\(#,##0.00000\)"/>
    <numFmt numFmtId="188" formatCode="#,##0.000000_);[Red]\(#,##0.000000\)"/>
    <numFmt numFmtId="189" formatCode="0.0000%"/>
    <numFmt numFmtId="190" formatCode="_(* #,##0.0_);_(* \(#,##0.0\);_(* &quot;-&quot;_);_(@_)"/>
    <numFmt numFmtId="191" formatCode="_(* #,##0.00_);_(* \(#,##0.00\);_(* &quot;-&quot;_);_(@_)"/>
    <numFmt numFmtId="192" formatCode="_(* #,##0.000_);_(* \(#,##0.000\);_(* &quot;-&quot;_);_(@_)"/>
    <numFmt numFmtId="193" formatCode="_(* #,##0.000_);_(* \(#,##0.000\);_(* &quot;-&quot;???_);_(@_)"/>
    <numFmt numFmtId="194" formatCode="#,##0.0000000000_);[Red]\(#,##0.0000000000\)"/>
    <numFmt numFmtId="195" formatCode="#,##0.000000000_);[Red]\(#,##0.000000000\)"/>
    <numFmt numFmtId="196" formatCode="#,##0.00000000_);[Red]\(#,##0.00000000\)"/>
    <numFmt numFmtId="197" formatCode="#,##0.0000000_);[Red]\(#,##0.0000000\)"/>
    <numFmt numFmtId="198" formatCode="_(* #,##0.0000_);_(* \(#,##0.0000\);_(* &quot;-&quot;??_);_(@_)"/>
    <numFmt numFmtId="199" formatCode="_(* #,##0.00000_);_(* \(#,##0.00000\);_(* &quot;-&quot;??_);_(@_)"/>
    <numFmt numFmtId="200" formatCode="_(* #,##0.0000_);_(* \(#,##0.0000\);_(* &quot;-&quot;_);_(@_)"/>
    <numFmt numFmtId="201" formatCode="_(* #,##0.00000_);_(* \(#,##0.00000\);_(* &quot;-&quot;_);_(@_)"/>
    <numFmt numFmtId="202" formatCode="_(* #,##0.0_);_(* \(#,##0.0\);_(* &quot;-&quot;?_);_(@_)"/>
    <numFmt numFmtId="203" formatCode="dd/mm/yyyy"/>
    <numFmt numFmtId="204" formatCode="_(&quot;$&quot;* #,##0.0_);_(&quot;$&quot;* \(#,##0.0\);_(&quot;$&quot;* &quot;-&quot;??_);_(@_)"/>
    <numFmt numFmtId="205" formatCode="_(&quot;$&quot;* #,##0_);_(&quot;$&quot;* \(#,##0\);_(&quot;$&quot;* &quot;-&quot;??_);_(@_)"/>
    <numFmt numFmtId="206" formatCode="#,##0.0_);\(#,##0.0\)"/>
    <numFmt numFmtId="207" formatCode="_(* #,##0_);_(* \(#,##0\);_(* &quot;-&quot;?_);_(@_)"/>
    <numFmt numFmtId="208" formatCode="_(&quot;$&quot;* #,##0.0_);_(&quot;$&quot;* \(#,##0.0\);_(&quot;$&quot;* &quot;-&quot;_);_(@_)"/>
    <numFmt numFmtId="209" formatCode="_(&quot;$&quot;* #,##0.00_);_(&quot;$&quot;* \(#,##0.00\);_(&quot;$&quot;* &quot;-&quot;_);_(@_)"/>
    <numFmt numFmtId="210" formatCode="_(* #,##0.000000_);_(* \(#,##0.000000\);_(* &quot;-&quot;_);_(@_)"/>
    <numFmt numFmtId="211" formatCode="_(* #,##0.0000000_);_(* \(#,##0.0000000\);_(* &quot;-&quot;_);_(@_)"/>
    <numFmt numFmtId="212" formatCode="_(* #,##0.00000000_);_(* \(#,##0.00000000\);_(* &quot;-&quot;_);_(@_)"/>
    <numFmt numFmtId="213" formatCode="_(* #,##0.000000000_);_(* \(#,##0.000000000\);_(* &quot;-&quot;_);_(@_)"/>
    <numFmt numFmtId="214" formatCode="0.0000000"/>
    <numFmt numFmtId="215" formatCode="_-* #,##0.0_-;\-* #,##0.0_-;_-* &quot;-&quot;??_-;_-@_-"/>
    <numFmt numFmtId="216" formatCode="_-* #,##0_-;\-* #,##0_-;_-* &quot;-&quot;??_-;_-@_-"/>
    <numFmt numFmtId="217" formatCode="#,##0.0"/>
    <numFmt numFmtId="218" formatCode="&quot;$&quot;#,##0"/>
    <numFmt numFmtId="219" formatCode="_-* #,##0.000_-;\-* #,##0.000_-;_-* &quot;-&quot;???_-;_-@_-"/>
    <numFmt numFmtId="220" formatCode="_-* #,##0.0_-;\-* #,##0.0_-;_-* &quot;-&quot;?_-;_-@_-"/>
    <numFmt numFmtId="221" formatCode="[$-C09]dddd\,\ d\ mmmm\ yyyy"/>
    <numFmt numFmtId="222" formatCode="[$-409]h:mm:ss\ AM/PM"/>
  </numFmts>
  <fonts count="2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7.5"/>
      <color indexed="36"/>
      <name val="Geneva"/>
      <family val="0"/>
    </font>
    <font>
      <u val="single"/>
      <sz val="7.5"/>
      <color indexed="12"/>
      <name val="Geneva"/>
      <family val="0"/>
    </font>
    <font>
      <sz val="8"/>
      <name val="Geneva"/>
      <family val="0"/>
    </font>
    <font>
      <sz val="14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0"/>
      <color indexed="14"/>
      <name val="Times New Roman"/>
      <family val="1"/>
    </font>
    <font>
      <sz val="9"/>
      <name val="Times New Roman"/>
      <family val="1"/>
    </font>
    <font>
      <sz val="10"/>
      <color indexed="10"/>
      <name val="Geneva"/>
      <family val="0"/>
    </font>
    <font>
      <b/>
      <sz val="12"/>
      <name val="Times New Roman"/>
      <family val="1"/>
    </font>
    <font>
      <b/>
      <u val="single"/>
      <sz val="12"/>
      <name val="Geneva"/>
      <family val="0"/>
    </font>
    <font>
      <sz val="6"/>
      <name val="Geneva"/>
      <family val="0"/>
    </font>
    <font>
      <b/>
      <sz val="11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165" fontId="0" fillId="0" borderId="3" xfId="0" applyNumberForma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 quotePrefix="1">
      <alignment horizontal="center"/>
    </xf>
    <xf numFmtId="0" fontId="9" fillId="0" borderId="3" xfId="0" applyFont="1" applyBorder="1" applyAlignment="1">
      <alignment/>
    </xf>
    <xf numFmtId="0" fontId="10" fillId="0" borderId="3" xfId="0" applyFont="1" applyBorder="1" applyAlignment="1">
      <alignment/>
    </xf>
    <xf numFmtId="165" fontId="8" fillId="0" borderId="3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8" fillId="0" borderId="3" xfId="0" applyFont="1" applyFill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0" xfId="0" applyFont="1" applyAlignment="1">
      <alignment/>
    </xf>
    <xf numFmtId="165" fontId="12" fillId="2" borderId="3" xfId="0" applyNumberFormat="1" applyFont="1" applyFill="1" applyBorder="1" applyAlignment="1">
      <alignment/>
    </xf>
    <xf numFmtId="165" fontId="8" fillId="2" borderId="3" xfId="0" applyNumberFormat="1" applyFont="1" applyFill="1" applyBorder="1" applyAlignment="1">
      <alignment/>
    </xf>
    <xf numFmtId="165" fontId="8" fillId="0" borderId="5" xfId="0" applyNumberFormat="1" applyFont="1" applyBorder="1" applyAlignment="1">
      <alignment/>
    </xf>
    <xf numFmtId="165" fontId="8" fillId="0" borderId="6" xfId="0" applyNumberFormat="1" applyFont="1" applyBorder="1" applyAlignment="1">
      <alignment/>
    </xf>
    <xf numFmtId="165" fontId="13" fillId="0" borderId="3" xfId="0" applyNumberFormat="1" applyFont="1" applyBorder="1" applyAlignment="1">
      <alignment/>
    </xf>
    <xf numFmtId="165" fontId="14" fillId="0" borderId="3" xfId="0" applyNumberFormat="1" applyFont="1" applyBorder="1" applyAlignment="1">
      <alignment/>
    </xf>
    <xf numFmtId="165" fontId="8" fillId="3" borderId="5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165" fontId="8" fillId="0" borderId="4" xfId="0" applyNumberFormat="1" applyFont="1" applyBorder="1" applyAlignment="1">
      <alignment/>
    </xf>
    <xf numFmtId="165" fontId="8" fillId="0" borderId="7" xfId="0" applyNumberFormat="1" applyFont="1" applyBorder="1" applyAlignment="1">
      <alignment/>
    </xf>
    <xf numFmtId="165" fontId="8" fillId="2" borderId="5" xfId="0" applyNumberFormat="1" applyFont="1" applyFill="1" applyBorder="1" applyAlignment="1">
      <alignment/>
    </xf>
    <xf numFmtId="165" fontId="8" fillId="2" borderId="8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13" fillId="0" borderId="3" xfId="0" applyFont="1" applyBorder="1" applyAlignment="1">
      <alignment/>
    </xf>
    <xf numFmtId="168" fontId="8" fillId="0" borderId="3" xfId="0" applyNumberFormat="1" applyFont="1" applyBorder="1" applyAlignment="1">
      <alignment/>
    </xf>
    <xf numFmtId="0" fontId="15" fillId="0" borderId="3" xfId="0" applyFont="1" applyBorder="1" applyAlignment="1">
      <alignment/>
    </xf>
    <xf numFmtId="168" fontId="13" fillId="2" borderId="4" xfId="0" applyNumberFormat="1" applyFont="1" applyFill="1" applyBorder="1" applyAlignment="1">
      <alignment/>
    </xf>
    <xf numFmtId="168" fontId="13" fillId="2" borderId="7" xfId="0" applyNumberFormat="1" applyFont="1" applyFill="1" applyBorder="1" applyAlignment="1">
      <alignment/>
    </xf>
    <xf numFmtId="168" fontId="0" fillId="0" borderId="0" xfId="21" applyNumberFormat="1" applyAlignment="1">
      <alignment/>
    </xf>
    <xf numFmtId="165" fontId="8" fillId="4" borderId="3" xfId="0" applyNumberFormat="1" applyFont="1" applyFill="1" applyBorder="1" applyAlignment="1">
      <alignment/>
    </xf>
    <xf numFmtId="0" fontId="8" fillId="0" borderId="9" xfId="0" applyFont="1" applyBorder="1" applyAlignment="1">
      <alignment horizontal="center"/>
    </xf>
    <xf numFmtId="165" fontId="8" fillId="0" borderId="9" xfId="0" applyNumberFormat="1" applyFont="1" applyBorder="1" applyAlignment="1">
      <alignment/>
    </xf>
    <xf numFmtId="168" fontId="8" fillId="0" borderId="9" xfId="0" applyNumberFormat="1" applyFont="1" applyBorder="1" applyAlignment="1">
      <alignment/>
    </xf>
    <xf numFmtId="165" fontId="12" fillId="0" borderId="3" xfId="0" applyNumberFormat="1" applyFont="1" applyBorder="1" applyAlignment="1">
      <alignment/>
    </xf>
    <xf numFmtId="9" fontId="0" fillId="0" borderId="3" xfId="21" applyBorder="1" applyAlignment="1">
      <alignment/>
    </xf>
    <xf numFmtId="165" fontId="8" fillId="0" borderId="9" xfId="0" applyNumberFormat="1" applyFont="1" applyFill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21" applyAlignment="1">
      <alignment/>
    </xf>
    <xf numFmtId="165" fontId="16" fillId="0" borderId="3" xfId="0" applyNumberFormat="1" applyFont="1" applyBorder="1" applyAlignment="1">
      <alignment/>
    </xf>
    <xf numFmtId="168" fontId="16" fillId="0" borderId="3" xfId="0" applyNumberFormat="1" applyFont="1" applyBorder="1" applyAlignment="1">
      <alignment/>
    </xf>
    <xf numFmtId="168" fontId="16" fillId="0" borderId="3" xfId="0" applyNumberFormat="1" applyFont="1" applyBorder="1" applyAlignment="1">
      <alignment horizontal="right"/>
    </xf>
    <xf numFmtId="0" fontId="17" fillId="0" borderId="3" xfId="0" applyFont="1" applyBorder="1" applyAlignment="1">
      <alignment/>
    </xf>
    <xf numFmtId="165" fontId="18" fillId="0" borderId="0" xfId="0" applyNumberFormat="1" applyFont="1" applyAlignment="1">
      <alignment/>
    </xf>
    <xf numFmtId="0" fontId="14" fillId="0" borderId="3" xfId="0" applyFont="1" applyBorder="1" applyAlignment="1">
      <alignment/>
    </xf>
    <xf numFmtId="165" fontId="8" fillId="0" borderId="3" xfId="0" applyNumberFormat="1" applyFont="1" applyBorder="1" applyAlignment="1">
      <alignment horizontal="center"/>
    </xf>
    <xf numFmtId="165" fontId="13" fillId="2" borderId="4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/>
    </xf>
    <xf numFmtId="0" fontId="18" fillId="0" borderId="0" xfId="21" applyNumberFormat="1" applyFont="1" applyAlignment="1">
      <alignment/>
    </xf>
    <xf numFmtId="165" fontId="13" fillId="0" borderId="3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2" fillId="5" borderId="3" xfId="0" applyFont="1" applyFill="1" applyBorder="1" applyAlignment="1">
      <alignment/>
    </xf>
    <xf numFmtId="0" fontId="12" fillId="5" borderId="0" xfId="0" applyFont="1" applyFill="1" applyAlignment="1">
      <alignment/>
    </xf>
    <xf numFmtId="0" fontId="8" fillId="5" borderId="3" xfId="0" applyFont="1" applyFill="1" applyBorder="1" applyAlignment="1">
      <alignment horizontal="center"/>
    </xf>
    <xf numFmtId="165" fontId="12" fillId="5" borderId="3" xfId="0" applyNumberFormat="1" applyFont="1" applyFill="1" applyBorder="1" applyAlignment="1">
      <alignment/>
    </xf>
    <xf numFmtId="165" fontId="8" fillId="0" borderId="8" xfId="0" applyNumberFormat="1" applyFont="1" applyBorder="1" applyAlignment="1">
      <alignment/>
    </xf>
    <xf numFmtId="0" fontId="19" fillId="0" borderId="3" xfId="0" applyFont="1" applyBorder="1" applyAlignment="1">
      <alignment/>
    </xf>
    <xf numFmtId="0" fontId="8" fillId="0" borderId="9" xfId="0" applyFont="1" applyBorder="1" applyAlignment="1">
      <alignment/>
    </xf>
    <xf numFmtId="165" fontId="8" fillId="0" borderId="10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9" fontId="0" fillId="0" borderId="12" xfId="21" applyBorder="1" applyAlignment="1">
      <alignment/>
    </xf>
    <xf numFmtId="0" fontId="2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168" fontId="0" fillId="0" borderId="3" xfId="15" applyNumberFormat="1" applyBorder="1" applyAlignment="1">
      <alignment/>
    </xf>
    <xf numFmtId="165" fontId="0" fillId="0" borderId="4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0" fontId="0" fillId="0" borderId="2" xfId="0" applyBorder="1" applyAlignment="1">
      <alignment/>
    </xf>
    <xf numFmtId="168" fontId="0" fillId="0" borderId="10" xfId="0" applyNumberFormat="1" applyBorder="1" applyAlignment="1">
      <alignment/>
    </xf>
    <xf numFmtId="168" fontId="0" fillId="0" borderId="11" xfId="0" applyNumberFormat="1" applyBorder="1" applyAlignment="1">
      <alignment/>
    </xf>
    <xf numFmtId="0" fontId="21" fillId="0" borderId="0" xfId="0" applyFont="1" applyAlignment="1">
      <alignment/>
    </xf>
    <xf numFmtId="165" fontId="0" fillId="0" borderId="9" xfId="0" applyNumberFormat="1" applyBorder="1" applyAlignment="1">
      <alignment/>
    </xf>
    <xf numFmtId="0" fontId="0" fillId="0" borderId="7" xfId="0" applyBorder="1" applyAlignment="1">
      <alignment/>
    </xf>
    <xf numFmtId="9" fontId="0" fillId="0" borderId="9" xfId="21" applyBorder="1" applyAlignment="1">
      <alignment/>
    </xf>
    <xf numFmtId="168" fontId="0" fillId="0" borderId="3" xfId="0" applyNumberFormat="1" applyBorder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showGridLines="0" tabSelected="1" zoomScale="85" zoomScaleNormal="85" workbookViewId="0" topLeftCell="A1">
      <selection activeCell="A4" sqref="A4:K4"/>
    </sheetView>
  </sheetViews>
  <sheetFormatPr defaultColWidth="9.00390625" defaultRowHeight="12.75"/>
  <cols>
    <col min="1" max="1" width="27.00390625" style="0" customWidth="1"/>
    <col min="2" max="2" width="20.125" style="0" customWidth="1"/>
    <col min="3" max="3" width="12.625" style="0" customWidth="1"/>
    <col min="4" max="4" width="9.00390625" style="0" customWidth="1"/>
    <col min="5" max="6" width="11.625" style="0" hidden="1" customWidth="1"/>
    <col min="7" max="7" width="11.625" style="0" customWidth="1"/>
    <col min="8" max="8" width="10.625" style="0" customWidth="1"/>
    <col min="9" max="9" width="10.75390625" style="0" customWidth="1"/>
    <col min="10" max="10" width="10.25390625" style="0" customWidth="1"/>
    <col min="11" max="11" width="11.125" style="0" customWidth="1"/>
    <col min="12" max="12" width="10.75390625" style="0" hidden="1" customWidth="1"/>
    <col min="13" max="13" width="6.375" style="0" customWidth="1"/>
    <col min="14" max="16384" width="11.625" style="0" customWidth="1"/>
  </cols>
  <sheetData>
    <row r="1" spans="1:14" ht="12.75">
      <c r="A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</row>
    <row r="3" spans="1:14" ht="18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</row>
    <row r="4" spans="1:14" ht="18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1"/>
      <c r="N4" s="1"/>
    </row>
    <row r="5" spans="1:14" ht="18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"/>
      <c r="N5" s="1"/>
    </row>
    <row r="6" spans="1:14" ht="12.75">
      <c r="A6" s="5"/>
      <c r="B6" s="6"/>
      <c r="C6" s="6"/>
      <c r="D6" s="7"/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9"/>
      <c r="N6" s="1"/>
    </row>
    <row r="7" spans="1:14" ht="12.75">
      <c r="A7" s="7"/>
      <c r="B7" s="6"/>
      <c r="C7" s="6"/>
      <c r="D7" s="7"/>
      <c r="E7" s="10"/>
      <c r="F7" s="10"/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0"/>
      <c r="M7" s="9"/>
      <c r="N7" s="1"/>
    </row>
    <row r="8" spans="1:14" ht="12.75">
      <c r="A8" s="7"/>
      <c r="B8" s="6"/>
      <c r="C8" s="6"/>
      <c r="D8" s="7"/>
      <c r="E8" s="10"/>
      <c r="F8" s="10"/>
      <c r="G8" s="10"/>
      <c r="H8" s="10"/>
      <c r="I8" s="10"/>
      <c r="J8" s="10"/>
      <c r="K8" s="10"/>
      <c r="L8" s="10"/>
      <c r="M8" s="9"/>
      <c r="N8" s="1"/>
    </row>
    <row r="9" spans="1:14" ht="12.75">
      <c r="A9" s="7"/>
      <c r="B9" s="6"/>
      <c r="C9" s="6"/>
      <c r="D9" s="7"/>
      <c r="E9" s="11" t="s">
        <v>17</v>
      </c>
      <c r="F9" s="11" t="s">
        <v>17</v>
      </c>
      <c r="G9" s="11" t="s">
        <v>17</v>
      </c>
      <c r="H9" s="11" t="s">
        <v>17</v>
      </c>
      <c r="I9" s="11" t="s">
        <v>17</v>
      </c>
      <c r="J9" s="11" t="s">
        <v>17</v>
      </c>
      <c r="K9" s="11" t="s">
        <v>17</v>
      </c>
      <c r="L9" s="11" t="s">
        <v>17</v>
      </c>
      <c r="M9" s="9"/>
      <c r="N9" s="1"/>
    </row>
    <row r="10" spans="1:14" ht="12.75">
      <c r="A10" s="7"/>
      <c r="B10" s="6"/>
      <c r="C10" s="6"/>
      <c r="D10" s="7"/>
      <c r="E10" s="11"/>
      <c r="F10" s="11"/>
      <c r="G10" s="11"/>
      <c r="H10" s="11"/>
      <c r="I10" s="11"/>
      <c r="J10" s="11"/>
      <c r="K10" s="11"/>
      <c r="L10" s="11"/>
      <c r="M10" s="9"/>
      <c r="N10" s="1"/>
    </row>
    <row r="11" spans="1:14" ht="12.75">
      <c r="A11" s="7"/>
      <c r="B11" s="6"/>
      <c r="C11" s="6"/>
      <c r="D11" s="7"/>
      <c r="E11" s="10" t="s">
        <v>18</v>
      </c>
      <c r="F11" s="10" t="s">
        <v>19</v>
      </c>
      <c r="G11" s="10" t="s">
        <v>19</v>
      </c>
      <c r="H11" s="10" t="s">
        <v>19</v>
      </c>
      <c r="I11" s="10" t="s">
        <v>19</v>
      </c>
      <c r="J11" s="10" t="s">
        <v>19</v>
      </c>
      <c r="K11" s="10" t="s">
        <v>19</v>
      </c>
      <c r="L11" s="11"/>
      <c r="M11" s="9"/>
      <c r="N11" s="1"/>
    </row>
    <row r="12" spans="1:14" ht="15.75">
      <c r="A12" s="12" t="s">
        <v>20</v>
      </c>
      <c r="B12" s="6"/>
      <c r="C12" s="6"/>
      <c r="D12" s="7"/>
      <c r="E12" s="10"/>
      <c r="F12" s="10"/>
      <c r="G12" s="10"/>
      <c r="H12" s="10"/>
      <c r="I12" s="10"/>
      <c r="J12" s="10"/>
      <c r="K12" s="10"/>
      <c r="L12" s="10"/>
      <c r="M12" s="9"/>
      <c r="N12" s="1"/>
    </row>
    <row r="13" spans="1:14" ht="8.25" customHeight="1">
      <c r="A13" s="12"/>
      <c r="B13" s="6"/>
      <c r="C13" s="6"/>
      <c r="D13" s="7"/>
      <c r="E13" s="10"/>
      <c r="F13" s="10"/>
      <c r="G13" s="10"/>
      <c r="H13" s="10"/>
      <c r="I13" s="10"/>
      <c r="J13" s="10"/>
      <c r="K13" s="10"/>
      <c r="L13" s="10"/>
      <c r="M13" s="9"/>
      <c r="N13" s="1"/>
    </row>
    <row r="14" spans="1:14" ht="12.75">
      <c r="A14" s="13" t="s">
        <v>21</v>
      </c>
      <c r="B14" s="6"/>
      <c r="C14" s="6"/>
      <c r="D14" s="8" t="s">
        <v>22</v>
      </c>
      <c r="E14" s="14"/>
      <c r="F14" s="14"/>
      <c r="G14" s="14"/>
      <c r="H14" s="14"/>
      <c r="I14" s="14"/>
      <c r="J14" s="14"/>
      <c r="K14" s="14"/>
      <c r="L14" s="14"/>
      <c r="M14" s="9"/>
      <c r="N14" s="1"/>
    </row>
    <row r="15" spans="1:14" ht="12.75">
      <c r="A15" s="15" t="s">
        <v>23</v>
      </c>
      <c r="B15" s="6"/>
      <c r="C15" s="6"/>
      <c r="D15" s="10" t="s">
        <v>24</v>
      </c>
      <c r="E15" s="14" t="s">
        <v>24</v>
      </c>
      <c r="F15" s="14" t="s">
        <v>24</v>
      </c>
      <c r="G15" s="14" t="s">
        <v>24</v>
      </c>
      <c r="H15" s="14" t="s">
        <v>24</v>
      </c>
      <c r="I15" s="14" t="s">
        <v>24</v>
      </c>
      <c r="J15" s="14" t="s">
        <v>24</v>
      </c>
      <c r="K15" s="14" t="s">
        <v>24</v>
      </c>
      <c r="L15" s="14" t="s">
        <v>24</v>
      </c>
      <c r="M15" s="9"/>
      <c r="N15" s="1"/>
    </row>
    <row r="16" spans="1:14" ht="12.75">
      <c r="A16" s="7" t="s">
        <v>25</v>
      </c>
      <c r="B16" s="6"/>
      <c r="C16" s="6"/>
      <c r="D16" s="16"/>
      <c r="E16" s="14">
        <v>250</v>
      </c>
      <c r="F16" s="14">
        <v>250</v>
      </c>
      <c r="G16" s="14">
        <v>250</v>
      </c>
      <c r="H16" s="14">
        <v>250</v>
      </c>
      <c r="I16" s="14">
        <v>250</v>
      </c>
      <c r="J16" s="14">
        <v>150</v>
      </c>
      <c r="K16" s="14"/>
      <c r="L16" s="14">
        <f>SUM(E16:K16)</f>
        <v>1400</v>
      </c>
      <c r="M16" s="9"/>
      <c r="N16" s="1"/>
    </row>
    <row r="17" spans="1:14" ht="12.75" hidden="1">
      <c r="A17" s="7" t="s">
        <v>26</v>
      </c>
      <c r="B17" s="6"/>
      <c r="C17" s="6"/>
      <c r="D17" s="16"/>
      <c r="E17" s="14">
        <f>1220-410</f>
        <v>810</v>
      </c>
      <c r="F17" s="14">
        <v>0</v>
      </c>
      <c r="G17" s="14">
        <v>0</v>
      </c>
      <c r="H17" s="14">
        <v>0</v>
      </c>
      <c r="I17" s="14">
        <v>0</v>
      </c>
      <c r="J17" s="14"/>
      <c r="K17" s="14"/>
      <c r="L17" s="14">
        <f>SUM(E17:K17)</f>
        <v>810</v>
      </c>
      <c r="M17" s="9"/>
      <c r="N17" s="1"/>
    </row>
    <row r="18" spans="1:14" ht="12.75">
      <c r="A18" s="7" t="s">
        <v>27</v>
      </c>
      <c r="B18" s="6"/>
      <c r="C18" s="6"/>
      <c r="D18" s="16"/>
      <c r="E18" s="14">
        <v>100</v>
      </c>
      <c r="F18" s="14">
        <v>100</v>
      </c>
      <c r="G18" s="14">
        <v>100</v>
      </c>
      <c r="H18" s="14"/>
      <c r="I18" s="14"/>
      <c r="J18" s="14"/>
      <c r="K18" s="14"/>
      <c r="L18" s="14">
        <f>SUM(E18:K18)</f>
        <v>300</v>
      </c>
      <c r="M18" s="9"/>
      <c r="N18" s="1"/>
    </row>
    <row r="19" spans="1:14" ht="7.5" customHeight="1">
      <c r="A19" s="7"/>
      <c r="B19" s="6"/>
      <c r="C19" s="6"/>
      <c r="D19" s="16"/>
      <c r="E19" s="14"/>
      <c r="F19" s="14"/>
      <c r="G19" s="14"/>
      <c r="H19" s="14"/>
      <c r="I19" s="14"/>
      <c r="J19" s="14"/>
      <c r="K19" s="14"/>
      <c r="L19" s="14"/>
      <c r="M19" s="9"/>
      <c r="N19" s="1"/>
    </row>
    <row r="20" spans="1:14" ht="12.75">
      <c r="A20" s="15" t="s">
        <v>28</v>
      </c>
      <c r="B20" s="6"/>
      <c r="C20" s="6"/>
      <c r="D20" s="16"/>
      <c r="E20" s="14"/>
      <c r="F20" s="14"/>
      <c r="G20" s="14"/>
      <c r="H20" s="14"/>
      <c r="I20" s="14"/>
      <c r="J20" s="14"/>
      <c r="K20" s="14"/>
      <c r="L20" s="14"/>
      <c r="M20" s="9"/>
      <c r="N20" s="1"/>
    </row>
    <row r="21" spans="1:14" ht="12.75">
      <c r="A21" s="7" t="s">
        <v>29</v>
      </c>
      <c r="B21" s="6"/>
      <c r="C21" s="6"/>
      <c r="D21" s="16"/>
      <c r="E21" s="14"/>
      <c r="F21" s="14"/>
      <c r="G21" s="14">
        <v>100</v>
      </c>
      <c r="H21" s="14">
        <v>100</v>
      </c>
      <c r="I21" s="14">
        <v>100</v>
      </c>
      <c r="J21" s="14">
        <v>100</v>
      </c>
      <c r="K21" s="14">
        <v>100</v>
      </c>
      <c r="L21" s="14"/>
      <c r="M21" s="9"/>
      <c r="N21" s="1"/>
    </row>
    <row r="22" spans="1:14" ht="12.75">
      <c r="A22" s="7" t="s">
        <v>30</v>
      </c>
      <c r="B22" s="6"/>
      <c r="C22" s="6"/>
      <c r="D22" s="16"/>
      <c r="E22" s="14"/>
      <c r="F22" s="14"/>
      <c r="G22" s="14">
        <v>100</v>
      </c>
      <c r="H22" s="14">
        <v>100</v>
      </c>
      <c r="I22" s="14">
        <v>100</v>
      </c>
      <c r="J22" s="14">
        <v>100</v>
      </c>
      <c r="K22" s="14">
        <v>100</v>
      </c>
      <c r="L22" s="14"/>
      <c r="M22" s="9"/>
      <c r="N22" s="1"/>
    </row>
    <row r="23" spans="1:14" ht="12.75">
      <c r="A23" s="7" t="s">
        <v>31</v>
      </c>
      <c r="B23" s="6"/>
      <c r="C23" s="6"/>
      <c r="D23" s="16" t="s">
        <v>32</v>
      </c>
      <c r="E23" s="14"/>
      <c r="F23" s="14"/>
      <c r="G23" s="14">
        <v>200</v>
      </c>
      <c r="H23" s="14">
        <v>200</v>
      </c>
      <c r="I23" s="14">
        <v>200</v>
      </c>
      <c r="J23" s="14">
        <v>200</v>
      </c>
      <c r="K23" s="14">
        <v>200</v>
      </c>
      <c r="L23" s="14"/>
      <c r="M23" s="9"/>
      <c r="N23" s="1"/>
    </row>
    <row r="24" spans="1:14" ht="12.75">
      <c r="A24" s="7" t="s">
        <v>33</v>
      </c>
      <c r="B24" s="6"/>
      <c r="C24" s="6"/>
      <c r="D24" s="16"/>
      <c r="E24" s="14"/>
      <c r="F24" s="14"/>
      <c r="G24" s="14">
        <v>100</v>
      </c>
      <c r="H24" s="14">
        <v>100</v>
      </c>
      <c r="I24" s="14">
        <v>100</v>
      </c>
      <c r="J24" s="14">
        <v>100</v>
      </c>
      <c r="K24" s="14">
        <v>100</v>
      </c>
      <c r="L24" s="14"/>
      <c r="M24" s="9"/>
      <c r="N24" s="1"/>
    </row>
    <row r="25" spans="1:14" ht="12.75">
      <c r="A25" s="7" t="s">
        <v>34</v>
      </c>
      <c r="B25" s="6"/>
      <c r="C25" s="6"/>
      <c r="D25" s="16"/>
      <c r="E25" s="14"/>
      <c r="F25" s="14"/>
      <c r="G25" s="14">
        <v>100</v>
      </c>
      <c r="H25" s="14">
        <v>100</v>
      </c>
      <c r="I25" s="14">
        <v>100</v>
      </c>
      <c r="J25" s="14">
        <v>100</v>
      </c>
      <c r="K25" s="14">
        <v>100</v>
      </c>
      <c r="L25" s="14"/>
      <c r="M25" s="9"/>
      <c r="N25" s="1"/>
    </row>
    <row r="26" spans="1:14" ht="7.5" customHeight="1">
      <c r="A26" s="7"/>
      <c r="B26" s="6"/>
      <c r="C26" s="6"/>
      <c r="D26" s="16"/>
      <c r="E26" s="14"/>
      <c r="F26" s="14"/>
      <c r="G26" s="14"/>
      <c r="H26" s="14"/>
      <c r="I26" s="14"/>
      <c r="J26" s="14"/>
      <c r="K26" s="14"/>
      <c r="L26" s="14"/>
      <c r="M26" s="9"/>
      <c r="N26" s="1"/>
    </row>
    <row r="27" spans="1:14" ht="12.75">
      <c r="A27" s="7" t="s">
        <v>35</v>
      </c>
      <c r="B27" s="6"/>
      <c r="C27" s="6"/>
      <c r="D27" s="16" t="s">
        <v>24</v>
      </c>
      <c r="E27" s="14">
        <v>0</v>
      </c>
      <c r="F27" s="14">
        <v>300</v>
      </c>
      <c r="G27" s="14">
        <v>150</v>
      </c>
      <c r="H27" s="14">
        <v>0</v>
      </c>
      <c r="I27" s="14"/>
      <c r="J27" s="14"/>
      <c r="K27" s="14"/>
      <c r="L27" s="14">
        <f aca="true" t="shared" si="0" ref="L27:L32">SUM(E27:K27)</f>
        <v>450</v>
      </c>
      <c r="M27" s="9"/>
      <c r="N27" s="1"/>
    </row>
    <row r="28" spans="1:14" ht="12.75" hidden="1">
      <c r="A28" s="17" t="s">
        <v>36</v>
      </c>
      <c r="B28" s="18"/>
      <c r="C28" s="6"/>
      <c r="D28" s="16"/>
      <c r="E28" s="14">
        <v>0</v>
      </c>
      <c r="F28" s="14">
        <f>400+150</f>
        <v>550</v>
      </c>
      <c r="G28" s="14">
        <v>0</v>
      </c>
      <c r="H28" s="14">
        <v>0</v>
      </c>
      <c r="I28" s="14"/>
      <c r="J28" s="14"/>
      <c r="K28" s="14"/>
      <c r="L28" s="14">
        <f t="shared" si="0"/>
        <v>550</v>
      </c>
      <c r="M28" s="9"/>
      <c r="N28" s="1"/>
    </row>
    <row r="29" spans="1:14" ht="12.75">
      <c r="A29" s="7" t="s">
        <v>37</v>
      </c>
      <c r="B29" s="6"/>
      <c r="C29" s="6"/>
      <c r="D29" s="16"/>
      <c r="E29" s="14">
        <v>540</v>
      </c>
      <c r="F29" s="14">
        <v>150</v>
      </c>
      <c r="G29" s="14">
        <v>100</v>
      </c>
      <c r="H29" s="14">
        <v>100</v>
      </c>
      <c r="I29" s="14">
        <v>0</v>
      </c>
      <c r="J29" s="14">
        <v>0</v>
      </c>
      <c r="K29" s="14">
        <v>0</v>
      </c>
      <c r="L29" s="14">
        <f t="shared" si="0"/>
        <v>890</v>
      </c>
      <c r="M29" s="9"/>
      <c r="N29" s="1"/>
    </row>
    <row r="30" spans="1:14" ht="12.75" hidden="1">
      <c r="A30" s="7" t="s">
        <v>38</v>
      </c>
      <c r="B30" s="6"/>
      <c r="C30" s="6"/>
      <c r="D30" s="16" t="s">
        <v>24</v>
      </c>
      <c r="E30" s="14"/>
      <c r="F30" s="14" t="s">
        <v>24</v>
      </c>
      <c r="G30" s="14" t="s">
        <v>24</v>
      </c>
      <c r="H30" s="14" t="s">
        <v>24</v>
      </c>
      <c r="I30" s="14" t="s">
        <v>24</v>
      </c>
      <c r="J30" s="14" t="s">
        <v>24</v>
      </c>
      <c r="K30" s="14" t="s">
        <v>24</v>
      </c>
      <c r="L30" s="14">
        <f t="shared" si="0"/>
        <v>0</v>
      </c>
      <c r="M30" s="9"/>
      <c r="N30" s="1"/>
    </row>
    <row r="31" spans="1:14" ht="12.75" hidden="1">
      <c r="A31" s="7" t="s">
        <v>39</v>
      </c>
      <c r="B31" s="6"/>
      <c r="C31" s="6"/>
      <c r="D31" s="16"/>
      <c r="E31" s="14">
        <v>242</v>
      </c>
      <c r="F31" s="14">
        <v>0</v>
      </c>
      <c r="G31" s="14"/>
      <c r="H31" s="14"/>
      <c r="I31" s="14"/>
      <c r="J31" s="14"/>
      <c r="K31" s="14"/>
      <c r="L31" s="14">
        <f t="shared" si="0"/>
        <v>242</v>
      </c>
      <c r="M31" s="9"/>
      <c r="N31" s="1"/>
    </row>
    <row r="32" spans="1:14" ht="12.75" hidden="1">
      <c r="A32" s="7" t="s">
        <v>40</v>
      </c>
      <c r="B32" s="6"/>
      <c r="C32" s="6"/>
      <c r="D32" s="16"/>
      <c r="E32" s="14">
        <v>50</v>
      </c>
      <c r="F32" s="14">
        <v>0</v>
      </c>
      <c r="G32" s="14"/>
      <c r="H32" s="14"/>
      <c r="I32" s="14"/>
      <c r="J32" s="14"/>
      <c r="K32" s="14"/>
      <c r="L32" s="14">
        <f t="shared" si="0"/>
        <v>50</v>
      </c>
      <c r="M32" s="9"/>
      <c r="N32" s="1"/>
    </row>
    <row r="33" spans="1:14" ht="12.75">
      <c r="A33" s="17" t="s">
        <v>41</v>
      </c>
      <c r="B33" s="6"/>
      <c r="C33" s="6"/>
      <c r="D33" s="16" t="s">
        <v>42</v>
      </c>
      <c r="E33" s="14"/>
      <c r="F33" s="14"/>
      <c r="G33" s="19">
        <v>-315</v>
      </c>
      <c r="H33" s="19">
        <v>-440</v>
      </c>
      <c r="I33" s="20"/>
      <c r="J33" s="20"/>
      <c r="K33" s="20"/>
      <c r="L33" s="14"/>
      <c r="M33" s="9"/>
      <c r="N33" s="1"/>
    </row>
    <row r="34" spans="1:14" ht="12.75">
      <c r="A34" s="7" t="s">
        <v>43</v>
      </c>
      <c r="B34" s="6"/>
      <c r="C34" s="6"/>
      <c r="D34" s="16"/>
      <c r="E34" s="14">
        <v>110</v>
      </c>
      <c r="F34" s="14">
        <v>150</v>
      </c>
      <c r="G34" s="14">
        <v>48</v>
      </c>
      <c r="H34" s="14">
        <v>50</v>
      </c>
      <c r="I34" s="14">
        <v>25</v>
      </c>
      <c r="J34" s="14">
        <v>15</v>
      </c>
      <c r="K34" s="14">
        <v>5</v>
      </c>
      <c r="L34" s="14">
        <f>SUM(E34:K34)</f>
        <v>403</v>
      </c>
      <c r="M34" s="9"/>
      <c r="N34" s="1"/>
    </row>
    <row r="35" spans="1:14" ht="12.75" hidden="1">
      <c r="A35" s="7" t="s">
        <v>44</v>
      </c>
      <c r="B35" s="6"/>
      <c r="C35" s="6"/>
      <c r="D35" s="16"/>
      <c r="E35" s="14">
        <v>776</v>
      </c>
      <c r="F35" s="14">
        <v>0</v>
      </c>
      <c r="G35" s="14"/>
      <c r="H35" s="14"/>
      <c r="I35" s="14"/>
      <c r="J35" s="14"/>
      <c r="K35" s="14"/>
      <c r="L35" s="14">
        <f>SUM(E35:K35)</f>
        <v>776</v>
      </c>
      <c r="M35" s="9"/>
      <c r="N35" s="1"/>
    </row>
    <row r="36" spans="1:14" ht="12.75">
      <c r="A36" s="7" t="s">
        <v>45</v>
      </c>
      <c r="B36" s="6"/>
      <c r="C36" s="6"/>
      <c r="D36" s="16" t="s">
        <v>46</v>
      </c>
      <c r="E36" s="14"/>
      <c r="F36" s="14"/>
      <c r="G36" s="14"/>
      <c r="H36" s="14">
        <v>150</v>
      </c>
      <c r="I36" s="14">
        <v>200</v>
      </c>
      <c r="J36" s="14">
        <v>200</v>
      </c>
      <c r="K36" s="14">
        <v>200</v>
      </c>
      <c r="L36" s="14"/>
      <c r="M36" s="9"/>
      <c r="N36" s="1"/>
    </row>
    <row r="37" spans="1:14" ht="12.75">
      <c r="A37" s="7" t="s">
        <v>47</v>
      </c>
      <c r="B37" s="6"/>
      <c r="C37" s="6"/>
      <c r="D37" s="16" t="s">
        <v>24</v>
      </c>
      <c r="E37" s="14">
        <v>2754</v>
      </c>
      <c r="F37" s="14">
        <v>3300</v>
      </c>
      <c r="G37" s="14">
        <v>3300</v>
      </c>
      <c r="H37" s="14">
        <v>3300</v>
      </c>
      <c r="I37" s="14">
        <v>3300</v>
      </c>
      <c r="J37" s="14">
        <v>2700</v>
      </c>
      <c r="K37" s="14">
        <v>1546</v>
      </c>
      <c r="L37" s="14">
        <f>SUM(E37:K37)</f>
        <v>20200</v>
      </c>
      <c r="M37" s="9"/>
      <c r="N37" s="1"/>
    </row>
    <row r="38" spans="1:14" ht="12.75">
      <c r="A38" s="7"/>
      <c r="B38" s="6"/>
      <c r="C38" s="6"/>
      <c r="D38" s="10" t="s">
        <v>24</v>
      </c>
      <c r="E38" s="14"/>
      <c r="F38" s="14"/>
      <c r="G38" s="14"/>
      <c r="H38" s="14"/>
      <c r="I38" s="14"/>
      <c r="J38" s="14"/>
      <c r="K38" s="14"/>
      <c r="L38" s="14"/>
      <c r="M38" s="9"/>
      <c r="N38" s="1"/>
    </row>
    <row r="39" spans="1:14" ht="13.5" thickBot="1">
      <c r="A39" s="13" t="s">
        <v>48</v>
      </c>
      <c r="B39" s="6"/>
      <c r="C39" s="6"/>
      <c r="D39" s="10" t="s">
        <v>24</v>
      </c>
      <c r="E39" s="21">
        <f aca="true" t="shared" si="1" ref="E39:K39">SUM(E14:E37)</f>
        <v>5632</v>
      </c>
      <c r="F39" s="21">
        <f t="shared" si="1"/>
        <v>4800</v>
      </c>
      <c r="G39" s="21">
        <f t="shared" si="1"/>
        <v>4233</v>
      </c>
      <c r="H39" s="21">
        <f t="shared" si="1"/>
        <v>4010</v>
      </c>
      <c r="I39" s="21">
        <f t="shared" si="1"/>
        <v>4375</v>
      </c>
      <c r="J39" s="21">
        <f t="shared" si="1"/>
        <v>3665</v>
      </c>
      <c r="K39" s="21">
        <f t="shared" si="1"/>
        <v>2351</v>
      </c>
      <c r="L39" s="22">
        <f>SUM(E39:K39)</f>
        <v>29066</v>
      </c>
      <c r="M39" s="9"/>
      <c r="N39" s="1"/>
    </row>
    <row r="40" spans="1:14" ht="13.5" thickTop="1">
      <c r="A40" s="7"/>
      <c r="B40" s="6"/>
      <c r="C40" s="6"/>
      <c r="D40" s="10"/>
      <c r="E40" s="14"/>
      <c r="F40" s="14"/>
      <c r="G40" s="14"/>
      <c r="H40" s="14"/>
      <c r="I40" s="14"/>
      <c r="J40" s="14"/>
      <c r="K40" s="14"/>
      <c r="L40" s="14"/>
      <c r="M40" s="9"/>
      <c r="N40" s="1"/>
    </row>
    <row r="41" spans="1:14" ht="13.5">
      <c r="A41" s="7" t="s">
        <v>49</v>
      </c>
      <c r="B41" s="6"/>
      <c r="C41" s="6"/>
      <c r="D41" s="10" t="s">
        <v>50</v>
      </c>
      <c r="E41" s="23">
        <v>0</v>
      </c>
      <c r="F41" s="14">
        <f>E109-E107</f>
        <v>1824</v>
      </c>
      <c r="G41" s="24">
        <v>3566</v>
      </c>
      <c r="H41" s="14">
        <f>G109-G107</f>
        <v>1492</v>
      </c>
      <c r="I41" s="14">
        <f>H109-H107</f>
        <v>300</v>
      </c>
      <c r="J41" s="14">
        <f>I109-I107</f>
        <v>12.25</v>
      </c>
      <c r="K41" s="14">
        <f>J109-J107</f>
        <v>522.25</v>
      </c>
      <c r="L41" s="14" t="s">
        <v>24</v>
      </c>
      <c r="M41" s="9"/>
      <c r="N41" s="1"/>
    </row>
    <row r="42" spans="1:14" ht="12.75" hidden="1">
      <c r="A42" s="7" t="s">
        <v>51</v>
      </c>
      <c r="B42" s="6"/>
      <c r="C42" s="6"/>
      <c r="D42" s="10"/>
      <c r="E42" s="23"/>
      <c r="F42" s="14">
        <f>E103</f>
        <v>100</v>
      </c>
      <c r="G42" s="14">
        <f>F103+F42</f>
        <v>200</v>
      </c>
      <c r="H42" s="14">
        <f>G103+G42</f>
        <v>200</v>
      </c>
      <c r="I42" s="14">
        <f>H103+H42</f>
        <v>200</v>
      </c>
      <c r="J42" s="14">
        <f>I103+I42</f>
        <v>200</v>
      </c>
      <c r="K42" s="14">
        <f>J103+J42</f>
        <v>200</v>
      </c>
      <c r="L42" s="14"/>
      <c r="M42" s="9"/>
      <c r="N42" s="1"/>
    </row>
    <row r="43" spans="1:14" ht="12.75">
      <c r="A43" s="7"/>
      <c r="B43" s="6"/>
      <c r="C43" s="6"/>
      <c r="D43" s="10" t="s">
        <v>24</v>
      </c>
      <c r="E43" s="14"/>
      <c r="F43" s="14"/>
      <c r="G43" s="14"/>
      <c r="H43" s="14"/>
      <c r="I43" s="14"/>
      <c r="J43" s="14"/>
      <c r="K43" s="14"/>
      <c r="L43" s="14"/>
      <c r="M43" s="9"/>
      <c r="N43" s="1"/>
    </row>
    <row r="44" spans="1:14" ht="12.75">
      <c r="A44" s="13" t="s">
        <v>52</v>
      </c>
      <c r="B44" s="6"/>
      <c r="C44" s="6"/>
      <c r="D44" s="10" t="s">
        <v>24</v>
      </c>
      <c r="E44" s="21">
        <f>+E39+E41</f>
        <v>5632</v>
      </c>
      <c r="F44" s="21">
        <f>+F39+F41+F42</f>
        <v>6724</v>
      </c>
      <c r="G44" s="25">
        <f>+G39+G41</f>
        <v>7799</v>
      </c>
      <c r="H44" s="25">
        <f>+H39+H41</f>
        <v>5502</v>
      </c>
      <c r="I44" s="25">
        <f>+I39+I41</f>
        <v>4675</v>
      </c>
      <c r="J44" s="25">
        <f>+J39+J41</f>
        <v>3677.25</v>
      </c>
      <c r="K44" s="25">
        <f>+K39+K41</f>
        <v>2873.25</v>
      </c>
      <c r="L44" s="14" t="s">
        <v>24</v>
      </c>
      <c r="M44" s="9" t="s">
        <v>24</v>
      </c>
      <c r="N44" s="1"/>
    </row>
    <row r="45" spans="1:14" ht="12.75">
      <c r="A45" s="7"/>
      <c r="B45" s="6"/>
      <c r="C45" s="6"/>
      <c r="D45" s="10"/>
      <c r="E45" s="14"/>
      <c r="F45" s="14"/>
      <c r="G45" s="14"/>
      <c r="H45" s="14"/>
      <c r="I45" s="14"/>
      <c r="J45" s="14"/>
      <c r="K45" s="14"/>
      <c r="L45" s="14"/>
      <c r="M45" s="9"/>
      <c r="N45" s="1"/>
    </row>
    <row r="46" spans="1:14" ht="15.75">
      <c r="A46" s="12" t="s">
        <v>53</v>
      </c>
      <c r="B46" s="6"/>
      <c r="C46" s="6"/>
      <c r="D46" s="10"/>
      <c r="E46" s="14"/>
      <c r="F46" s="14"/>
      <c r="G46" s="14"/>
      <c r="H46" s="14"/>
      <c r="I46" s="14"/>
      <c r="J46" s="14"/>
      <c r="K46" s="14"/>
      <c r="L46" s="14"/>
      <c r="M46" s="9"/>
      <c r="N46" s="1"/>
    </row>
    <row r="47" spans="1:14" ht="7.5" customHeight="1">
      <c r="A47" s="7"/>
      <c r="B47" s="6"/>
      <c r="C47" s="6"/>
      <c r="D47" s="10"/>
      <c r="E47" s="14"/>
      <c r="F47" s="14"/>
      <c r="G47" s="14"/>
      <c r="H47" s="14"/>
      <c r="I47" s="14"/>
      <c r="J47" s="14"/>
      <c r="K47" s="14"/>
      <c r="L47" s="14"/>
      <c r="M47" s="9"/>
      <c r="N47" s="1"/>
    </row>
    <row r="48" spans="1:14" ht="12.75">
      <c r="A48" s="13" t="s">
        <v>54</v>
      </c>
      <c r="B48" s="26"/>
      <c r="C48" s="6"/>
      <c r="D48" s="10"/>
      <c r="E48" s="14"/>
      <c r="F48" s="14"/>
      <c r="G48" s="14"/>
      <c r="H48" s="14"/>
      <c r="I48" s="14"/>
      <c r="J48" s="14"/>
      <c r="K48" s="14"/>
      <c r="L48" s="14"/>
      <c r="M48" s="9"/>
      <c r="N48" s="1"/>
    </row>
    <row r="49" spans="1:14" ht="12.75">
      <c r="A49" s="13"/>
      <c r="B49" s="26"/>
      <c r="C49" s="6"/>
      <c r="D49" s="10"/>
      <c r="E49" s="14"/>
      <c r="F49" s="14"/>
      <c r="G49" s="27"/>
      <c r="H49" s="27"/>
      <c r="I49" s="27"/>
      <c r="J49" s="27"/>
      <c r="K49" s="28"/>
      <c r="L49" s="14"/>
      <c r="M49" s="9"/>
      <c r="N49" s="1"/>
    </row>
    <row r="50" spans="1:15" ht="12.75">
      <c r="A50" s="7" t="s">
        <v>55</v>
      </c>
      <c r="B50" s="26"/>
      <c r="C50" s="6"/>
      <c r="D50" s="10"/>
      <c r="E50" s="14"/>
      <c r="F50" s="14"/>
      <c r="G50" s="29">
        <v>400</v>
      </c>
      <c r="H50" s="29">
        <v>0</v>
      </c>
      <c r="I50" s="29">
        <v>0</v>
      </c>
      <c r="J50" s="29">
        <v>0</v>
      </c>
      <c r="K50" s="30">
        <v>0</v>
      </c>
      <c r="L50" s="14"/>
      <c r="M50" s="9"/>
      <c r="N50" s="1"/>
      <c r="O50" s="31"/>
    </row>
    <row r="51" spans="1:14" ht="12.75">
      <c r="A51" s="32"/>
      <c r="B51" s="6"/>
      <c r="C51" s="6"/>
      <c r="D51" s="10" t="s">
        <v>24</v>
      </c>
      <c r="E51" s="14" t="s">
        <v>24</v>
      </c>
      <c r="F51" s="14" t="s">
        <v>24</v>
      </c>
      <c r="G51" s="27" t="s">
        <v>24</v>
      </c>
      <c r="H51" s="27" t="s">
        <v>24</v>
      </c>
      <c r="I51" s="27" t="s">
        <v>24</v>
      </c>
      <c r="J51" s="27" t="s">
        <v>24</v>
      </c>
      <c r="K51" s="28" t="s">
        <v>24</v>
      </c>
      <c r="L51" s="14" t="s">
        <v>24</v>
      </c>
      <c r="M51" s="9"/>
      <c r="N51" s="1"/>
    </row>
    <row r="52" spans="1:14" ht="12.75" hidden="1">
      <c r="A52" s="7" t="s">
        <v>56</v>
      </c>
      <c r="B52" s="6"/>
      <c r="C52" s="6"/>
      <c r="D52" s="10" t="s">
        <v>24</v>
      </c>
      <c r="E52" s="14">
        <v>994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f aca="true" t="shared" si="2" ref="L52:L61">SUM(E52:K52)</f>
        <v>994</v>
      </c>
      <c r="M52" s="9"/>
      <c r="N52" s="1"/>
    </row>
    <row r="53" spans="1:14" ht="12.75" hidden="1">
      <c r="A53" s="7" t="s">
        <v>57</v>
      </c>
      <c r="B53" s="6"/>
      <c r="C53" s="6"/>
      <c r="D53" s="10" t="s">
        <v>24</v>
      </c>
      <c r="E53" s="14">
        <v>210</v>
      </c>
      <c r="F53" s="14">
        <v>0</v>
      </c>
      <c r="G53" s="14"/>
      <c r="H53" s="14"/>
      <c r="I53" s="14"/>
      <c r="J53" s="14"/>
      <c r="K53" s="14"/>
      <c r="L53" s="14">
        <f t="shared" si="2"/>
        <v>210</v>
      </c>
      <c r="M53" s="9"/>
      <c r="N53" s="1"/>
    </row>
    <row r="54" spans="1:14" ht="12.75" hidden="1">
      <c r="A54" s="7" t="s">
        <v>58</v>
      </c>
      <c r="B54" s="6"/>
      <c r="C54" s="6"/>
      <c r="D54" s="10"/>
      <c r="E54" s="14">
        <v>0</v>
      </c>
      <c r="F54" s="14">
        <v>0</v>
      </c>
      <c r="G54" s="33"/>
      <c r="H54" s="33"/>
      <c r="I54" s="33"/>
      <c r="J54" s="33"/>
      <c r="K54" s="33"/>
      <c r="L54" s="14">
        <f t="shared" si="2"/>
        <v>0</v>
      </c>
      <c r="M54" s="9"/>
      <c r="N54" s="1"/>
    </row>
    <row r="55" spans="1:15" ht="12.75">
      <c r="A55" s="34" t="s">
        <v>59</v>
      </c>
      <c r="C55" s="6"/>
      <c r="D55" s="10"/>
      <c r="E55" s="14">
        <v>51</v>
      </c>
      <c r="F55" s="33" t="e">
        <f>1662-#REF!</f>
        <v>#REF!</v>
      </c>
      <c r="G55" s="35">
        <f>483+1674+143</f>
        <v>2300</v>
      </c>
      <c r="H55" s="35">
        <f>G55*1.05</f>
        <v>2415</v>
      </c>
      <c r="I55" s="35">
        <f>H55*1.05</f>
        <v>2535.75</v>
      </c>
      <c r="J55" s="35">
        <v>1500</v>
      </c>
      <c r="K55" s="36">
        <v>1200</v>
      </c>
      <c r="L55" s="14" t="e">
        <f t="shared" si="2"/>
        <v>#REF!</v>
      </c>
      <c r="M55" s="9"/>
      <c r="N55" s="37"/>
      <c r="O55" s="31"/>
    </row>
    <row r="56" spans="1:14" ht="12.75" hidden="1">
      <c r="A56" s="17" t="s">
        <v>60</v>
      </c>
      <c r="B56" s="6"/>
      <c r="C56" s="6"/>
      <c r="D56" s="10"/>
      <c r="E56" s="14"/>
      <c r="F56" s="33"/>
      <c r="G56" s="33">
        <v>0</v>
      </c>
      <c r="H56" s="33">
        <v>0</v>
      </c>
      <c r="I56" s="33">
        <f>H56*1.04</f>
        <v>0</v>
      </c>
      <c r="J56" s="38">
        <f>I56*1.03*0.75</f>
        <v>0</v>
      </c>
      <c r="K56" s="33">
        <f>J56*0.836</f>
        <v>0</v>
      </c>
      <c r="L56" s="14">
        <f t="shared" si="2"/>
        <v>0</v>
      </c>
      <c r="M56" s="9"/>
      <c r="N56" s="1"/>
    </row>
    <row r="57" spans="1:14" ht="12.75" hidden="1">
      <c r="A57" s="17" t="s">
        <v>61</v>
      </c>
      <c r="B57" s="18"/>
      <c r="C57" s="18"/>
      <c r="D57" s="10"/>
      <c r="E57" s="14">
        <v>0</v>
      </c>
      <c r="F57" s="14">
        <v>0</v>
      </c>
      <c r="G57" s="14">
        <f>+F57*1.05</f>
        <v>0</v>
      </c>
      <c r="H57" s="14">
        <f>+G57*1.04</f>
        <v>0</v>
      </c>
      <c r="I57" s="14">
        <v>0</v>
      </c>
      <c r="J57" s="14">
        <v>0</v>
      </c>
      <c r="K57" s="14"/>
      <c r="L57" s="14">
        <f t="shared" si="2"/>
        <v>0</v>
      </c>
      <c r="M57" s="9"/>
      <c r="N57" s="1"/>
    </row>
    <row r="58" spans="1:14" ht="12.75" hidden="1">
      <c r="A58" s="7" t="s">
        <v>62</v>
      </c>
      <c r="B58" s="6"/>
      <c r="C58" s="6"/>
      <c r="D58" s="10"/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/>
      <c r="L58" s="14">
        <f t="shared" si="2"/>
        <v>0</v>
      </c>
      <c r="M58" s="9"/>
      <c r="N58" s="1"/>
    </row>
    <row r="59" spans="1:14" ht="12.75" hidden="1">
      <c r="A59" s="7" t="s">
        <v>63</v>
      </c>
      <c r="B59" s="6"/>
      <c r="C59" s="6"/>
      <c r="D59" s="10"/>
      <c r="E59" s="14">
        <v>85</v>
      </c>
      <c r="F59" s="14">
        <v>0</v>
      </c>
      <c r="G59" s="33">
        <f>F59*1.05</f>
        <v>0</v>
      </c>
      <c r="H59" s="33">
        <f>G59*1.05</f>
        <v>0</v>
      </c>
      <c r="I59" s="33"/>
      <c r="J59" s="14"/>
      <c r="K59" s="14"/>
      <c r="L59" s="14">
        <f t="shared" si="2"/>
        <v>85</v>
      </c>
      <c r="M59" s="9"/>
      <c r="N59" s="1"/>
    </row>
    <row r="60" spans="1:14" ht="12.75" hidden="1">
      <c r="A60" s="7" t="s">
        <v>64</v>
      </c>
      <c r="B60" s="6"/>
      <c r="C60" s="6"/>
      <c r="D60" s="39"/>
      <c r="E60" s="40">
        <v>82</v>
      </c>
      <c r="F60" s="40"/>
      <c r="G60" s="41">
        <f>F60*1.05</f>
        <v>0</v>
      </c>
      <c r="H60" s="40"/>
      <c r="I60" s="40"/>
      <c r="J60" s="40"/>
      <c r="K60" s="40"/>
      <c r="L60" s="40">
        <f t="shared" si="2"/>
        <v>82</v>
      </c>
      <c r="M60" s="9"/>
      <c r="N60" s="1"/>
    </row>
    <row r="61" spans="1:14" ht="12.75" hidden="1">
      <c r="A61" s="7" t="s">
        <v>65</v>
      </c>
      <c r="B61" s="6"/>
      <c r="C61" s="6"/>
      <c r="D61" s="10"/>
      <c r="E61" s="14">
        <v>0</v>
      </c>
      <c r="F61" s="14">
        <v>0</v>
      </c>
      <c r="G61" s="33">
        <f>F61*1.03</f>
        <v>0</v>
      </c>
      <c r="H61" s="33">
        <f>G61*1.03</f>
        <v>0</v>
      </c>
      <c r="I61" s="33">
        <f>H61*1.03</f>
        <v>0</v>
      </c>
      <c r="J61" s="33">
        <f>I61*1.03</f>
        <v>0</v>
      </c>
      <c r="K61" s="33">
        <f>J61*1.03</f>
        <v>0</v>
      </c>
      <c r="L61" s="14">
        <f t="shared" si="2"/>
        <v>0</v>
      </c>
      <c r="M61" s="9"/>
      <c r="N61" s="1"/>
    </row>
    <row r="62" spans="1:14" ht="12.75">
      <c r="A62" s="7"/>
      <c r="B62" s="6"/>
      <c r="C62" s="6"/>
      <c r="D62" s="10"/>
      <c r="E62" s="14"/>
      <c r="F62" s="42"/>
      <c r="G62" s="14"/>
      <c r="H62" s="14"/>
      <c r="I62" s="14"/>
      <c r="J62" s="14"/>
      <c r="K62" s="14"/>
      <c r="L62" s="14"/>
      <c r="M62" s="9"/>
      <c r="N62" s="1"/>
    </row>
    <row r="63" spans="1:14" ht="12.75">
      <c r="A63" s="32" t="s">
        <v>66</v>
      </c>
      <c r="B63" s="6"/>
      <c r="C63" s="6"/>
      <c r="D63" s="10"/>
      <c r="E63" s="14" t="s">
        <v>24</v>
      </c>
      <c r="F63" s="42"/>
      <c r="G63" s="14"/>
      <c r="H63" s="14"/>
      <c r="I63" s="14"/>
      <c r="J63" s="14"/>
      <c r="K63" s="14"/>
      <c r="L63" s="14"/>
      <c r="M63" s="43"/>
      <c r="N63" s="1"/>
    </row>
    <row r="64" spans="1:14" ht="12.75" hidden="1">
      <c r="A64" s="7"/>
      <c r="B64" s="6"/>
      <c r="C64" s="6"/>
      <c r="D64" s="39"/>
      <c r="E64" s="44">
        <v>132</v>
      </c>
      <c r="F64" s="40">
        <v>0</v>
      </c>
      <c r="G64" s="40"/>
      <c r="H64" s="40"/>
      <c r="I64" s="40"/>
      <c r="J64" s="40"/>
      <c r="K64" s="40"/>
      <c r="L64" s="40">
        <f aca="true" t="shared" si="3" ref="L64:L85">SUM(E64:K64)</f>
        <v>132</v>
      </c>
      <c r="M64" s="9"/>
      <c r="N64" s="1"/>
    </row>
    <row r="65" spans="1:14" ht="12.75" hidden="1">
      <c r="A65" s="7" t="s">
        <v>67</v>
      </c>
      <c r="B65" s="6"/>
      <c r="C65" s="6"/>
      <c r="D65" s="10"/>
      <c r="E65" s="14">
        <v>0</v>
      </c>
      <c r="F65" s="14">
        <v>0</v>
      </c>
      <c r="G65" s="14"/>
      <c r="H65" s="14"/>
      <c r="I65" s="14"/>
      <c r="J65" s="14"/>
      <c r="K65" s="14"/>
      <c r="L65" s="14">
        <f t="shared" si="3"/>
        <v>0</v>
      </c>
      <c r="M65" s="9"/>
      <c r="N65" s="1"/>
    </row>
    <row r="66" spans="1:14" ht="12.75">
      <c r="A66" s="7" t="s">
        <v>68</v>
      </c>
      <c r="B66" s="6"/>
      <c r="C66" s="6"/>
      <c r="D66" s="10"/>
      <c r="E66" s="14">
        <f>272+10+5+6+8</f>
        <v>301</v>
      </c>
      <c r="F66" s="14">
        <v>350</v>
      </c>
      <c r="G66" s="33">
        <v>345</v>
      </c>
      <c r="H66" s="33">
        <v>380</v>
      </c>
      <c r="I66" s="33">
        <f>H66*1.05</f>
        <v>399</v>
      </c>
      <c r="J66" s="33">
        <v>420</v>
      </c>
      <c r="K66" s="33">
        <v>435</v>
      </c>
      <c r="L66" s="14">
        <f t="shared" si="3"/>
        <v>2630</v>
      </c>
      <c r="M66" s="9"/>
      <c r="N66" s="1"/>
    </row>
    <row r="67" spans="1:14" ht="12.75" hidden="1">
      <c r="A67" s="17" t="s">
        <v>69</v>
      </c>
      <c r="B67" s="6"/>
      <c r="C67" s="6"/>
      <c r="D67" s="10"/>
      <c r="E67" s="14">
        <f>145-13</f>
        <v>132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f t="shared" si="3"/>
        <v>132</v>
      </c>
      <c r="M67" s="9"/>
      <c r="N67" s="1"/>
    </row>
    <row r="68" spans="1:14" ht="12.75">
      <c r="A68" s="7" t="s">
        <v>70</v>
      </c>
      <c r="B68" s="6"/>
      <c r="C68" s="6"/>
      <c r="D68" s="10"/>
      <c r="E68" s="14">
        <v>6</v>
      </c>
      <c r="F68" s="14">
        <v>70</v>
      </c>
      <c r="G68" s="14">
        <v>70</v>
      </c>
      <c r="H68" s="14">
        <v>75</v>
      </c>
      <c r="I68" s="14">
        <v>80</v>
      </c>
      <c r="J68" s="14">
        <v>80</v>
      </c>
      <c r="K68" s="14">
        <v>80</v>
      </c>
      <c r="L68" s="14">
        <f t="shared" si="3"/>
        <v>461</v>
      </c>
      <c r="M68" s="9"/>
      <c r="N68" s="1"/>
    </row>
    <row r="69" spans="1:14" s="47" customFormat="1" ht="12.75" hidden="1">
      <c r="A69" s="17" t="s">
        <v>71</v>
      </c>
      <c r="B69" s="18"/>
      <c r="C69" s="18"/>
      <c r="D69" s="10"/>
      <c r="E69" s="14">
        <v>0</v>
      </c>
      <c r="F69" s="14">
        <v>0</v>
      </c>
      <c r="G69" s="14">
        <v>0</v>
      </c>
      <c r="H69" s="38">
        <v>0</v>
      </c>
      <c r="I69" s="14">
        <v>0</v>
      </c>
      <c r="J69" s="14">
        <v>0</v>
      </c>
      <c r="K69" s="14"/>
      <c r="L69" s="14">
        <f t="shared" si="3"/>
        <v>0</v>
      </c>
      <c r="M69" s="45"/>
      <c r="N69" s="46"/>
    </row>
    <row r="70" spans="1:16" ht="12.75" hidden="1">
      <c r="A70" s="7" t="s">
        <v>72</v>
      </c>
      <c r="B70" s="6"/>
      <c r="C70" s="6"/>
      <c r="D70" s="10"/>
      <c r="E70" s="14">
        <v>270</v>
      </c>
      <c r="F70" s="14">
        <f>F16-F58</f>
        <v>250</v>
      </c>
      <c r="G70" s="14">
        <v>0</v>
      </c>
      <c r="H70" s="14"/>
      <c r="I70" s="14">
        <v>0</v>
      </c>
      <c r="J70" s="14"/>
      <c r="K70" s="14"/>
      <c r="L70" s="14">
        <f t="shared" si="3"/>
        <v>520</v>
      </c>
      <c r="M70" s="9"/>
      <c r="N70" s="1"/>
      <c r="P70" s="48"/>
    </row>
    <row r="71" spans="1:14" ht="12.75" hidden="1">
      <c r="A71" s="7" t="s">
        <v>73</v>
      </c>
      <c r="B71" s="6"/>
      <c r="C71" s="6"/>
      <c r="D71" s="10"/>
      <c r="E71" s="14">
        <v>242</v>
      </c>
      <c r="F71" s="14"/>
      <c r="G71" s="14"/>
      <c r="H71" s="14"/>
      <c r="I71" s="14"/>
      <c r="J71" s="14"/>
      <c r="K71" s="14"/>
      <c r="L71" s="14">
        <f t="shared" si="3"/>
        <v>242</v>
      </c>
      <c r="M71" s="9"/>
      <c r="N71" s="1"/>
    </row>
    <row r="72" spans="1:14" ht="12.75" hidden="1">
      <c r="A72" s="7" t="s">
        <v>74</v>
      </c>
      <c r="B72" s="6"/>
      <c r="C72" s="6"/>
      <c r="D72" s="10"/>
      <c r="E72" s="14">
        <v>239</v>
      </c>
      <c r="F72" s="14">
        <v>0</v>
      </c>
      <c r="G72" s="14">
        <v>0</v>
      </c>
      <c r="H72" s="14">
        <v>0</v>
      </c>
      <c r="I72" s="14">
        <f>I17-I59</f>
        <v>0</v>
      </c>
      <c r="J72" s="14"/>
      <c r="K72" s="14"/>
      <c r="L72" s="14">
        <f t="shared" si="3"/>
        <v>239</v>
      </c>
      <c r="M72" s="9"/>
      <c r="N72" s="1"/>
    </row>
    <row r="73" spans="1:14" ht="12.75" hidden="1">
      <c r="A73" s="7" t="s">
        <v>75</v>
      </c>
      <c r="B73" s="6"/>
      <c r="C73" s="6"/>
      <c r="D73" s="10"/>
      <c r="E73" s="14">
        <v>486</v>
      </c>
      <c r="F73" s="42"/>
      <c r="G73" s="14"/>
      <c r="H73" s="14"/>
      <c r="I73" s="14"/>
      <c r="J73" s="14"/>
      <c r="K73" s="14"/>
      <c r="L73" s="14">
        <f t="shared" si="3"/>
        <v>486</v>
      </c>
      <c r="M73" s="9"/>
      <c r="N73" s="1"/>
    </row>
    <row r="74" spans="1:14" ht="12.75" hidden="1">
      <c r="A74" s="7" t="s">
        <v>76</v>
      </c>
      <c r="B74" s="6"/>
      <c r="C74" s="6"/>
      <c r="D74" s="10"/>
      <c r="E74" s="14">
        <f>5+13</f>
        <v>18</v>
      </c>
      <c r="F74" s="14">
        <f>F18-F60</f>
        <v>100</v>
      </c>
      <c r="G74" s="14">
        <v>0</v>
      </c>
      <c r="H74" s="14"/>
      <c r="I74" s="14"/>
      <c r="J74" s="14"/>
      <c r="K74" s="14"/>
      <c r="L74" s="14">
        <f t="shared" si="3"/>
        <v>118</v>
      </c>
      <c r="M74" s="9"/>
      <c r="N74" s="1"/>
    </row>
    <row r="75" spans="1:14" ht="12.75">
      <c r="A75" s="7" t="s">
        <v>77</v>
      </c>
      <c r="B75" s="6"/>
      <c r="C75" s="6"/>
      <c r="D75" s="10" t="s">
        <v>78</v>
      </c>
      <c r="E75" s="14">
        <v>253</v>
      </c>
      <c r="F75" s="14">
        <f>400-F70</f>
        <v>150</v>
      </c>
      <c r="G75" s="49">
        <f>2259-431</f>
        <v>1828</v>
      </c>
      <c r="H75" s="49">
        <v>1400</v>
      </c>
      <c r="I75" s="49">
        <v>1000</v>
      </c>
      <c r="J75" s="50">
        <v>1000</v>
      </c>
      <c r="K75" s="51">
        <f>385+559-86</f>
        <v>858</v>
      </c>
      <c r="L75" s="14">
        <f t="shared" si="3"/>
        <v>6489</v>
      </c>
      <c r="M75" s="9"/>
      <c r="N75" s="1"/>
    </row>
    <row r="76" spans="1:14" ht="12.75">
      <c r="A76" s="52" t="s">
        <v>79</v>
      </c>
      <c r="B76" s="6"/>
      <c r="C76" s="6"/>
      <c r="D76" s="10"/>
      <c r="E76" s="14" t="s">
        <v>24</v>
      </c>
      <c r="F76" s="14">
        <v>300</v>
      </c>
      <c r="G76" s="14">
        <f>150+55</f>
        <v>205</v>
      </c>
      <c r="H76" s="14">
        <v>0</v>
      </c>
      <c r="I76" s="14"/>
      <c r="J76" s="14"/>
      <c r="K76" s="14"/>
      <c r="L76" s="14">
        <f t="shared" si="3"/>
        <v>505</v>
      </c>
      <c r="M76" s="9"/>
      <c r="N76" s="1"/>
    </row>
    <row r="77" spans="1:14" ht="12.75" hidden="1">
      <c r="A77" s="7" t="s">
        <v>80</v>
      </c>
      <c r="B77" s="6"/>
      <c r="C77" s="6"/>
      <c r="D77" s="10" t="s">
        <v>24</v>
      </c>
      <c r="E77" s="14" t="s">
        <v>24</v>
      </c>
      <c r="F77" s="14">
        <v>0</v>
      </c>
      <c r="G77" s="38">
        <v>0</v>
      </c>
      <c r="H77" s="14">
        <v>0</v>
      </c>
      <c r="I77" s="14">
        <v>0</v>
      </c>
      <c r="J77" s="14">
        <v>0</v>
      </c>
      <c r="K77" s="14">
        <v>0</v>
      </c>
      <c r="L77" s="14">
        <f t="shared" si="3"/>
        <v>0</v>
      </c>
      <c r="M77" s="9"/>
      <c r="N77" s="1"/>
    </row>
    <row r="78" spans="1:15" ht="12.75">
      <c r="A78" s="7" t="s">
        <v>81</v>
      </c>
      <c r="B78" s="6"/>
      <c r="C78" s="6"/>
      <c r="D78" s="10" t="s">
        <v>24</v>
      </c>
      <c r="E78" s="14"/>
      <c r="F78" s="14">
        <v>0</v>
      </c>
      <c r="G78" s="27"/>
      <c r="H78" s="27" t="s">
        <v>24</v>
      </c>
      <c r="I78" s="27" t="s">
        <v>24</v>
      </c>
      <c r="J78" s="27">
        <v>110</v>
      </c>
      <c r="K78" s="28">
        <v>300</v>
      </c>
      <c r="L78" s="40">
        <f t="shared" si="3"/>
        <v>410</v>
      </c>
      <c r="M78" s="9"/>
      <c r="N78" s="1"/>
      <c r="O78" s="1"/>
    </row>
    <row r="79" spans="1:14" ht="12.75" hidden="1">
      <c r="A79" s="7" t="s">
        <v>82</v>
      </c>
      <c r="B79" s="6"/>
      <c r="C79" s="6"/>
      <c r="D79" s="39"/>
      <c r="E79" s="14">
        <v>12</v>
      </c>
      <c r="F79" s="40">
        <v>30</v>
      </c>
      <c r="G79" s="14"/>
      <c r="H79" s="40"/>
      <c r="I79" s="14"/>
      <c r="J79" s="40"/>
      <c r="K79" s="14"/>
      <c r="L79" s="40">
        <f t="shared" si="3"/>
        <v>42</v>
      </c>
      <c r="M79" s="9"/>
      <c r="N79" s="1"/>
    </row>
    <row r="80" spans="1:14" ht="12.75" hidden="1">
      <c r="A80" s="7" t="s">
        <v>83</v>
      </c>
      <c r="B80" s="6"/>
      <c r="C80" s="6"/>
      <c r="D80" s="10"/>
      <c r="E80" s="14">
        <v>0</v>
      </c>
      <c r="F80" s="14">
        <v>0</v>
      </c>
      <c r="G80" s="14"/>
      <c r="H80" s="14"/>
      <c r="I80" s="14"/>
      <c r="J80" s="14"/>
      <c r="K80" s="14"/>
      <c r="L80" s="14">
        <f t="shared" si="3"/>
        <v>0</v>
      </c>
      <c r="M80" s="9"/>
      <c r="N80" s="1"/>
    </row>
    <row r="81" spans="1:14" ht="12.75" hidden="1">
      <c r="A81" s="7" t="s">
        <v>84</v>
      </c>
      <c r="B81" s="6"/>
      <c r="C81" s="6"/>
      <c r="D81" s="39"/>
      <c r="E81" s="40">
        <v>15</v>
      </c>
      <c r="F81" s="40">
        <v>0</v>
      </c>
      <c r="G81" s="40"/>
      <c r="H81" s="40"/>
      <c r="I81" s="40"/>
      <c r="J81" s="40"/>
      <c r="K81" s="40"/>
      <c r="L81" s="40">
        <f t="shared" si="3"/>
        <v>15</v>
      </c>
      <c r="M81" s="9"/>
      <c r="N81" s="1"/>
    </row>
    <row r="82" spans="1:14" ht="12.75" hidden="1">
      <c r="A82" s="7" t="s">
        <v>85</v>
      </c>
      <c r="B82" s="6"/>
      <c r="C82" s="6"/>
      <c r="D82" s="10"/>
      <c r="E82" s="14">
        <v>0</v>
      </c>
      <c r="F82" s="14">
        <v>0</v>
      </c>
      <c r="G82" s="14"/>
      <c r="H82" s="14"/>
      <c r="I82" s="14"/>
      <c r="J82" s="14"/>
      <c r="K82" s="14"/>
      <c r="L82" s="14">
        <f t="shared" si="3"/>
        <v>0</v>
      </c>
      <c r="M82" s="9"/>
      <c r="N82" s="1"/>
    </row>
    <row r="83" spans="1:14" ht="12.75" hidden="1">
      <c r="A83" s="7" t="s">
        <v>86</v>
      </c>
      <c r="B83" s="6"/>
      <c r="C83" s="6"/>
      <c r="D83" s="10"/>
      <c r="E83" s="14">
        <v>0</v>
      </c>
      <c r="F83" s="14">
        <v>0</v>
      </c>
      <c r="G83" s="14"/>
      <c r="H83" s="14"/>
      <c r="I83" s="14"/>
      <c r="J83" s="14"/>
      <c r="K83" s="14"/>
      <c r="L83" s="14">
        <f t="shared" si="3"/>
        <v>0</v>
      </c>
      <c r="M83" s="9"/>
      <c r="N83" s="53"/>
    </row>
    <row r="84" spans="1:14" ht="12.75" hidden="1">
      <c r="A84" s="7" t="s">
        <v>87</v>
      </c>
      <c r="B84" s="6"/>
      <c r="C84" s="6"/>
      <c r="D84" s="10"/>
      <c r="E84" s="14">
        <v>0</v>
      </c>
      <c r="F84" s="14">
        <v>0</v>
      </c>
      <c r="G84" s="14"/>
      <c r="H84" s="14"/>
      <c r="I84" s="14"/>
      <c r="J84" s="14"/>
      <c r="K84" s="14"/>
      <c r="L84" s="14">
        <f t="shared" si="3"/>
        <v>0</v>
      </c>
      <c r="M84" s="9"/>
      <c r="N84" s="53"/>
    </row>
    <row r="85" spans="1:14" ht="12.75" hidden="1">
      <c r="A85" s="7" t="s">
        <v>88</v>
      </c>
      <c r="B85" s="6"/>
      <c r="C85" s="6"/>
      <c r="D85" s="10"/>
      <c r="E85" s="14">
        <v>0</v>
      </c>
      <c r="F85" s="14">
        <v>0</v>
      </c>
      <c r="G85" s="14"/>
      <c r="H85" s="14"/>
      <c r="I85" s="14"/>
      <c r="J85" s="14"/>
      <c r="K85" s="14"/>
      <c r="L85" s="14">
        <f t="shared" si="3"/>
        <v>0</v>
      </c>
      <c r="M85" s="9"/>
      <c r="N85" s="53"/>
    </row>
    <row r="86" spans="1:15" ht="13.5">
      <c r="A86" s="54" t="s">
        <v>89</v>
      </c>
      <c r="C86" s="6"/>
      <c r="D86" s="55"/>
      <c r="E86" s="14"/>
      <c r="F86" s="14"/>
      <c r="G86" s="56">
        <f>SUM(G66:G78)</f>
        <v>2448</v>
      </c>
      <c r="H86" s="56">
        <f>SUM(H66:H78)</f>
        <v>1855</v>
      </c>
      <c r="I86" s="56">
        <f>SUM(I66:I78)</f>
        <v>1479</v>
      </c>
      <c r="J86" s="56">
        <f>SUM(J66:J78)</f>
        <v>1610</v>
      </c>
      <c r="K86" s="57">
        <f>SUM(K66:K78)</f>
        <v>1673</v>
      </c>
      <c r="L86" s="14"/>
      <c r="M86" s="9"/>
      <c r="N86" s="58"/>
      <c r="O86" s="1"/>
    </row>
    <row r="87" spans="1:14" ht="13.5">
      <c r="A87" s="54"/>
      <c r="C87" s="6"/>
      <c r="D87" s="55"/>
      <c r="E87" s="14"/>
      <c r="F87" s="14"/>
      <c r="G87" s="59"/>
      <c r="H87" s="59"/>
      <c r="I87" s="59"/>
      <c r="J87" s="59"/>
      <c r="K87" s="59"/>
      <c r="L87" s="14"/>
      <c r="M87" s="9"/>
      <c r="N87" s="58"/>
    </row>
    <row r="88" spans="1:17" ht="12.75">
      <c r="A88" s="32" t="s">
        <v>90</v>
      </c>
      <c r="B88" s="6"/>
      <c r="C88" s="6"/>
      <c r="D88" s="10" t="s">
        <v>24</v>
      </c>
      <c r="E88" s="14"/>
      <c r="F88" s="14"/>
      <c r="G88" s="14"/>
      <c r="H88" s="14"/>
      <c r="I88" s="14"/>
      <c r="J88" s="14"/>
      <c r="K88" s="14"/>
      <c r="L88" s="14"/>
      <c r="M88" s="9"/>
      <c r="N88" s="1"/>
      <c r="O88" s="1"/>
      <c r="P88" s="1"/>
      <c r="Q88" s="1"/>
    </row>
    <row r="89" spans="1:14" ht="12.75" hidden="1">
      <c r="A89" s="52" t="s">
        <v>91</v>
      </c>
      <c r="B89" s="6"/>
      <c r="C89" s="6"/>
      <c r="D89" s="10" t="s">
        <v>24</v>
      </c>
      <c r="E89" s="14">
        <v>49</v>
      </c>
      <c r="F89" s="14">
        <v>0</v>
      </c>
      <c r="G89" s="14"/>
      <c r="H89" s="14"/>
      <c r="I89" s="14"/>
      <c r="J89" s="14"/>
      <c r="K89" s="14"/>
      <c r="L89" s="14">
        <f>SUM(E89:K89)</f>
        <v>49</v>
      </c>
      <c r="M89" s="9"/>
      <c r="N89" s="1"/>
    </row>
    <row r="90" spans="1:14" ht="12.75">
      <c r="A90" s="7" t="s">
        <v>92</v>
      </c>
      <c r="B90" s="6"/>
      <c r="C90" s="6"/>
      <c r="D90" s="10" t="s">
        <v>24</v>
      </c>
      <c r="E90" s="14"/>
      <c r="F90" s="14" t="s">
        <v>24</v>
      </c>
      <c r="G90" s="14" t="s">
        <v>24</v>
      </c>
      <c r="H90" s="14" t="s">
        <v>24</v>
      </c>
      <c r="I90" s="14" t="s">
        <v>24</v>
      </c>
      <c r="J90" s="14" t="s">
        <v>24</v>
      </c>
      <c r="K90" s="14" t="s">
        <v>24</v>
      </c>
      <c r="L90" s="14" t="s">
        <v>24</v>
      </c>
      <c r="M90" s="9"/>
      <c r="N90" s="1"/>
    </row>
    <row r="91" spans="1:14" ht="12.75">
      <c r="A91" s="7" t="s">
        <v>93</v>
      </c>
      <c r="B91" s="60"/>
      <c r="C91" s="6"/>
      <c r="D91" s="10"/>
      <c r="E91" s="14">
        <v>29</v>
      </c>
      <c r="F91" s="14">
        <v>324</v>
      </c>
      <c r="G91" s="14">
        <f>387+162</f>
        <v>549</v>
      </c>
      <c r="H91" s="14">
        <v>506</v>
      </c>
      <c r="I91" s="14">
        <v>371</v>
      </c>
      <c r="J91" s="14">
        <v>0</v>
      </c>
      <c r="K91" s="14">
        <v>0</v>
      </c>
      <c r="L91" s="14">
        <f>SUM(E91:K91)</f>
        <v>1779</v>
      </c>
      <c r="M91" s="9"/>
      <c r="N91" s="1"/>
    </row>
    <row r="92" spans="1:15" ht="12.75">
      <c r="A92" s="7" t="s">
        <v>94</v>
      </c>
      <c r="B92" s="6"/>
      <c r="C92" s="6"/>
      <c r="D92" s="10"/>
      <c r="E92" s="14">
        <v>52</v>
      </c>
      <c r="F92" s="14">
        <f>99+91+45</f>
        <v>235</v>
      </c>
      <c r="G92" s="14">
        <f>392+90</f>
        <v>482</v>
      </c>
      <c r="H92" s="14">
        <f>276+5+90</f>
        <v>371</v>
      </c>
      <c r="I92" s="14">
        <v>232</v>
      </c>
      <c r="J92" s="14">
        <v>0</v>
      </c>
      <c r="K92" s="14">
        <v>0</v>
      </c>
      <c r="L92" s="14">
        <f>SUM(E92:K92)</f>
        <v>1372</v>
      </c>
      <c r="M92" s="9"/>
      <c r="N92" s="1"/>
      <c r="O92" s="1"/>
    </row>
    <row r="93" spans="1:15" ht="12.75">
      <c r="A93" s="7" t="s">
        <v>95</v>
      </c>
      <c r="B93" s="6"/>
      <c r="C93" s="6"/>
      <c r="D93" s="10"/>
      <c r="E93" s="14"/>
      <c r="F93" s="42"/>
      <c r="G93" s="14"/>
      <c r="H93" s="14"/>
      <c r="I93" s="14"/>
      <c r="J93" s="14"/>
      <c r="K93" s="14"/>
      <c r="L93" s="14"/>
      <c r="M93" s="9"/>
      <c r="N93" s="1"/>
      <c r="O93" s="1"/>
    </row>
    <row r="94" spans="1:14" ht="12.75">
      <c r="A94" s="7" t="s">
        <v>96</v>
      </c>
      <c r="B94" s="6"/>
      <c r="C94" s="6"/>
      <c r="D94" s="10"/>
      <c r="E94" s="14">
        <v>20</v>
      </c>
      <c r="F94" s="14">
        <f>12*5</f>
        <v>60</v>
      </c>
      <c r="G94" s="14">
        <v>35</v>
      </c>
      <c r="H94" s="14">
        <v>5</v>
      </c>
      <c r="I94" s="14">
        <v>0</v>
      </c>
      <c r="J94" s="14">
        <v>0</v>
      </c>
      <c r="K94" s="14">
        <v>0</v>
      </c>
      <c r="L94" s="14">
        <f>SUM(E94:K94)</f>
        <v>120</v>
      </c>
      <c r="M94" s="9"/>
      <c r="N94" s="1"/>
    </row>
    <row r="95" spans="1:14" ht="12.75">
      <c r="A95" s="7" t="s">
        <v>97</v>
      </c>
      <c r="B95" s="6"/>
      <c r="C95" s="6"/>
      <c r="D95" s="55"/>
      <c r="E95" s="14">
        <v>30</v>
      </c>
      <c r="F95" s="14">
        <f>19+19+25</f>
        <v>63</v>
      </c>
      <c r="G95" s="14">
        <v>40</v>
      </c>
      <c r="H95" s="14">
        <v>5</v>
      </c>
      <c r="I95" s="14">
        <v>0</v>
      </c>
      <c r="J95" s="14">
        <v>0</v>
      </c>
      <c r="K95" s="14">
        <v>0</v>
      </c>
      <c r="L95" s="14">
        <f>SUM(E95:K95)</f>
        <v>138</v>
      </c>
      <c r="M95" s="9"/>
      <c r="N95" s="1"/>
    </row>
    <row r="96" spans="1:14" ht="12.75">
      <c r="A96" s="7" t="s">
        <v>98</v>
      </c>
      <c r="B96" s="6"/>
      <c r="C96" s="6"/>
      <c r="D96" s="55"/>
      <c r="E96" s="14"/>
      <c r="F96" s="14"/>
      <c r="G96" s="14">
        <f>8+45</f>
        <v>53</v>
      </c>
      <c r="H96" s="14">
        <v>45</v>
      </c>
      <c r="I96" s="14">
        <v>45</v>
      </c>
      <c r="J96" s="14">
        <v>45</v>
      </c>
      <c r="K96" s="14">
        <v>0</v>
      </c>
      <c r="L96" s="14"/>
      <c r="M96" s="9"/>
      <c r="N96" s="1"/>
    </row>
    <row r="97" spans="1:18" ht="12.75">
      <c r="A97" s="61" t="s">
        <v>99</v>
      </c>
      <c r="B97" s="62"/>
      <c r="C97" s="62"/>
      <c r="D97" s="63" t="s">
        <v>100</v>
      </c>
      <c r="E97" s="64"/>
      <c r="F97" s="64">
        <v>192</v>
      </c>
      <c r="G97" s="64"/>
      <c r="H97" s="64"/>
      <c r="I97" s="64"/>
      <c r="J97" s="64"/>
      <c r="K97" s="64"/>
      <c r="L97" s="14">
        <f>SUM(E97:K97)</f>
        <v>192</v>
      </c>
      <c r="M97" s="9"/>
      <c r="N97" s="1"/>
      <c r="O97" s="1"/>
      <c r="P97" s="1"/>
      <c r="Q97" s="1"/>
      <c r="R97" s="1"/>
    </row>
    <row r="98" spans="1:14" ht="12.75">
      <c r="A98" s="7"/>
      <c r="B98" s="6"/>
      <c r="C98" s="6"/>
      <c r="D98" s="10"/>
      <c r="E98" s="42"/>
      <c r="F98" s="14"/>
      <c r="G98" s="27"/>
      <c r="H98" s="27"/>
      <c r="I98" s="27"/>
      <c r="J98" s="27"/>
      <c r="K98" s="28"/>
      <c r="L98" s="14"/>
      <c r="M98" s="9"/>
      <c r="N98" s="1"/>
    </row>
    <row r="99" spans="1:13" ht="13.5">
      <c r="A99" s="54" t="s">
        <v>101</v>
      </c>
      <c r="C99" s="6"/>
      <c r="D99" s="10"/>
      <c r="E99" s="42"/>
      <c r="F99" s="14"/>
      <c r="G99" s="56">
        <f>SUM(G91:G97)</f>
        <v>1159</v>
      </c>
      <c r="H99" s="56">
        <f>SUM(H91:H97)</f>
        <v>932</v>
      </c>
      <c r="I99" s="56">
        <f>SUM(I91:I97)</f>
        <v>648</v>
      </c>
      <c r="J99" s="56">
        <f>SUM(J91:J97)</f>
        <v>45</v>
      </c>
      <c r="K99" s="57">
        <f>SUM(K91:K97)</f>
        <v>0</v>
      </c>
      <c r="L99" s="14"/>
      <c r="M99" s="9"/>
    </row>
    <row r="100" spans="1:14" ht="12.75">
      <c r="A100" s="7"/>
      <c r="B100" s="6"/>
      <c r="C100" s="6"/>
      <c r="D100" s="55"/>
      <c r="E100" s="14"/>
      <c r="F100" s="14"/>
      <c r="G100" s="14"/>
      <c r="H100" s="14"/>
      <c r="I100" s="14"/>
      <c r="J100" s="14"/>
      <c r="K100" s="65"/>
      <c r="L100" s="14"/>
      <c r="M100" s="1"/>
      <c r="N100" s="1"/>
    </row>
    <row r="101" spans="1:14" ht="13.5" thickBot="1">
      <c r="A101" s="13" t="s">
        <v>102</v>
      </c>
      <c r="B101" s="6"/>
      <c r="C101" s="6"/>
      <c r="D101" s="10"/>
      <c r="E101" s="21">
        <f>SUM(E51:E97)</f>
        <v>3708</v>
      </c>
      <c r="F101" s="21" t="e">
        <f>SUM(F51:F97)</f>
        <v>#REF!</v>
      </c>
      <c r="G101" s="25">
        <f>G50+G55+G86+G99</f>
        <v>6307</v>
      </c>
      <c r="H101" s="25">
        <f>H50+H55+H86+H99</f>
        <v>5202</v>
      </c>
      <c r="I101" s="25">
        <f>I50+I55+I86+I99</f>
        <v>4662.75</v>
      </c>
      <c r="J101" s="25">
        <f>J50+J55+J86+J99</f>
        <v>3155</v>
      </c>
      <c r="K101" s="25">
        <f>K50+K55+K86+K99</f>
        <v>2873</v>
      </c>
      <c r="L101" s="22" t="e">
        <f>SUM(L51:L97)</f>
        <v>#REF!</v>
      </c>
      <c r="M101" s="9"/>
      <c r="N101" s="1"/>
    </row>
    <row r="102" spans="1:14" ht="13.5" thickTop="1">
      <c r="A102" s="7"/>
      <c r="B102" s="6"/>
      <c r="C102" s="6"/>
      <c r="D102" s="10"/>
      <c r="E102" s="14"/>
      <c r="F102" s="14"/>
      <c r="G102" s="14"/>
      <c r="H102" s="14"/>
      <c r="I102" s="14"/>
      <c r="J102" s="14"/>
      <c r="K102" s="14"/>
      <c r="L102" s="14"/>
      <c r="M102" s="9"/>
      <c r="N102" s="1"/>
    </row>
    <row r="103" spans="1:14" ht="12.75" hidden="1">
      <c r="A103" s="7" t="s">
        <v>103</v>
      </c>
      <c r="B103" s="6"/>
      <c r="C103" s="6"/>
      <c r="D103" s="10"/>
      <c r="E103" s="14">
        <v>100</v>
      </c>
      <c r="F103" s="14">
        <v>100</v>
      </c>
      <c r="G103" s="14"/>
      <c r="H103" s="14"/>
      <c r="I103" s="14"/>
      <c r="J103" s="14"/>
      <c r="K103" s="14"/>
      <c r="L103" s="14"/>
      <c r="M103" s="9"/>
      <c r="N103" s="1"/>
    </row>
    <row r="104" spans="1:14" ht="12.75">
      <c r="A104" s="7"/>
      <c r="B104" s="6"/>
      <c r="C104" s="6"/>
      <c r="D104" s="7"/>
      <c r="E104" s="14"/>
      <c r="F104" s="14"/>
      <c r="G104" s="14"/>
      <c r="H104" s="14"/>
      <c r="I104" s="14"/>
      <c r="J104" s="14"/>
      <c r="K104" s="14"/>
      <c r="L104" s="14"/>
      <c r="M104" s="9"/>
      <c r="N104" s="1"/>
    </row>
    <row r="105" spans="1:14" ht="18" customHeight="1">
      <c r="A105" s="66" t="s">
        <v>104</v>
      </c>
      <c r="B105" s="6"/>
      <c r="C105" s="6"/>
      <c r="D105" s="10"/>
      <c r="E105" s="14">
        <f>+E44-E101-E103</f>
        <v>1824</v>
      </c>
      <c r="F105" s="14">
        <v>3520</v>
      </c>
      <c r="G105" s="14">
        <f>G44-G101</f>
        <v>1492</v>
      </c>
      <c r="H105" s="14">
        <f>H44-H101</f>
        <v>300</v>
      </c>
      <c r="I105" s="14">
        <f>I44-I101</f>
        <v>12.25</v>
      </c>
      <c r="J105" s="14">
        <f>J44-J101</f>
        <v>522.25</v>
      </c>
      <c r="K105" s="14">
        <f>K44-K101</f>
        <v>0.25</v>
      </c>
      <c r="L105" s="14"/>
      <c r="M105" s="9"/>
      <c r="N105" s="1"/>
    </row>
    <row r="106" spans="1:15" ht="12.75">
      <c r="A106" s="7"/>
      <c r="B106" s="6"/>
      <c r="C106" s="6"/>
      <c r="D106" s="67" t="s">
        <v>24</v>
      </c>
      <c r="E106" s="40"/>
      <c r="F106" s="40"/>
      <c r="G106" s="40"/>
      <c r="H106" s="40"/>
      <c r="I106" s="40"/>
      <c r="J106" s="40"/>
      <c r="K106" s="40"/>
      <c r="L106" s="40"/>
      <c r="M106" s="9"/>
      <c r="N106" s="1"/>
      <c r="O106" s="1"/>
    </row>
    <row r="107" spans="1:14" ht="12.75" hidden="1">
      <c r="A107" s="7" t="s">
        <v>105</v>
      </c>
      <c r="B107" s="6"/>
      <c r="C107" s="6"/>
      <c r="D107" s="10" t="s">
        <v>24</v>
      </c>
      <c r="E107" s="23">
        <v>-500</v>
      </c>
      <c r="F107" s="14">
        <v>-300</v>
      </c>
      <c r="G107" s="14">
        <v>-300</v>
      </c>
      <c r="H107" s="14">
        <v>-300</v>
      </c>
      <c r="I107" s="14">
        <v>-300</v>
      </c>
      <c r="J107" s="14">
        <v>-300</v>
      </c>
      <c r="K107" s="14">
        <v>0</v>
      </c>
      <c r="L107" s="14"/>
      <c r="M107" s="9"/>
      <c r="N107" s="1"/>
    </row>
    <row r="108" spans="1:14" ht="12.75" hidden="1">
      <c r="A108" s="7"/>
      <c r="B108" s="6"/>
      <c r="C108" s="6"/>
      <c r="D108" s="7" t="s">
        <v>24</v>
      </c>
      <c r="E108" s="14"/>
      <c r="F108" s="14"/>
      <c r="G108" s="14"/>
      <c r="H108" s="14"/>
      <c r="I108" s="14"/>
      <c r="J108" s="14"/>
      <c r="K108" s="14"/>
      <c r="L108" s="14"/>
      <c r="M108" s="9"/>
      <c r="N108" s="1"/>
    </row>
    <row r="109" spans="1:14" ht="13.5" hidden="1" thickBot="1">
      <c r="A109" s="13" t="s">
        <v>106</v>
      </c>
      <c r="B109" s="6"/>
      <c r="C109" s="6"/>
      <c r="D109" s="10" t="s">
        <v>24</v>
      </c>
      <c r="E109" s="68">
        <f aca="true" t="shared" si="4" ref="E109:J109">+E105+E107</f>
        <v>1324</v>
      </c>
      <c r="F109" s="68">
        <f t="shared" si="4"/>
        <v>3220</v>
      </c>
      <c r="G109" s="68">
        <f t="shared" si="4"/>
        <v>1192</v>
      </c>
      <c r="H109" s="68">
        <f t="shared" si="4"/>
        <v>0</v>
      </c>
      <c r="I109" s="68">
        <f t="shared" si="4"/>
        <v>-287.75</v>
      </c>
      <c r="J109" s="68">
        <f t="shared" si="4"/>
        <v>222.25</v>
      </c>
      <c r="K109" s="69">
        <f>+K105-K107</f>
        <v>0.25</v>
      </c>
      <c r="L109" s="14"/>
      <c r="M109" s="9"/>
      <c r="N109" s="1"/>
    </row>
    <row r="110" spans="1:14" ht="12.75" hidden="1">
      <c r="A110" s="7"/>
      <c r="B110" s="6"/>
      <c r="C110" s="6"/>
      <c r="D110" s="7"/>
      <c r="E110" s="14"/>
      <c r="F110" s="14"/>
      <c r="G110" s="14"/>
      <c r="H110" s="14"/>
      <c r="I110" s="14"/>
      <c r="J110" s="14"/>
      <c r="K110" s="14"/>
      <c r="L110" s="14"/>
      <c r="M110" s="9"/>
      <c r="N110" s="1"/>
    </row>
    <row r="111" spans="5:14" ht="12.75"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2" ht="13.5" hidden="1" thickBot="1">
      <c r="A112" s="70"/>
      <c r="B112" s="70" t="s">
        <v>24</v>
      </c>
      <c r="C112" s="70"/>
      <c r="D112" s="70"/>
      <c r="E112" s="71"/>
      <c r="F112" s="70"/>
      <c r="G112" s="70"/>
      <c r="H112" s="70"/>
      <c r="I112" s="70"/>
      <c r="J112" s="70"/>
      <c r="K112" s="70"/>
      <c r="L112" s="70"/>
    </row>
    <row r="113" ht="13.5" hidden="1" thickTop="1"/>
    <row r="114" spans="1:12" ht="15.75" hidden="1">
      <c r="A114" s="72" t="s">
        <v>107</v>
      </c>
      <c r="D114" s="73"/>
      <c r="E114" s="73"/>
      <c r="F114" s="73"/>
      <c r="G114" s="73"/>
      <c r="H114" s="73"/>
      <c r="I114" s="73"/>
      <c r="J114" s="73"/>
      <c r="K114" s="73"/>
      <c r="L114" s="73"/>
    </row>
    <row r="115" spans="4:13" ht="12.75" hidden="1">
      <c r="D115" s="74"/>
      <c r="E115" s="8" t="s">
        <v>4</v>
      </c>
      <c r="F115" s="8" t="s">
        <v>5</v>
      </c>
      <c r="G115" s="8" t="s">
        <v>6</v>
      </c>
      <c r="H115" s="8" t="s">
        <v>7</v>
      </c>
      <c r="I115" s="8" t="s">
        <v>8</v>
      </c>
      <c r="J115" s="8" t="s">
        <v>9</v>
      </c>
      <c r="K115" s="8" t="s">
        <v>10</v>
      </c>
      <c r="L115" s="8" t="s">
        <v>11</v>
      </c>
      <c r="M115" s="75"/>
    </row>
    <row r="116" spans="4:13" ht="12.75" hidden="1">
      <c r="D116" s="74"/>
      <c r="E116" s="11" t="s">
        <v>17</v>
      </c>
      <c r="F116" s="11" t="s">
        <v>17</v>
      </c>
      <c r="G116" s="11" t="s">
        <v>17</v>
      </c>
      <c r="H116" s="11" t="s">
        <v>17</v>
      </c>
      <c r="I116" s="11" t="s">
        <v>17</v>
      </c>
      <c r="J116" s="11" t="s">
        <v>17</v>
      </c>
      <c r="K116" s="11" t="s">
        <v>17</v>
      </c>
      <c r="L116" s="11" t="s">
        <v>17</v>
      </c>
      <c r="M116" s="75"/>
    </row>
    <row r="117" spans="4:13" ht="12.75" hidden="1">
      <c r="D117" s="74"/>
      <c r="E117" s="75"/>
      <c r="F117" s="75"/>
      <c r="G117" s="75"/>
      <c r="H117" s="75"/>
      <c r="I117" s="75"/>
      <c r="J117" s="75"/>
      <c r="K117" s="75"/>
      <c r="L117" s="75"/>
      <c r="M117" s="75"/>
    </row>
    <row r="118" spans="1:13" ht="12.75" hidden="1">
      <c r="A118" t="s">
        <v>108</v>
      </c>
      <c r="D118" s="74"/>
      <c r="E118" s="76">
        <v>4661</v>
      </c>
      <c r="F118" s="76">
        <v>3986</v>
      </c>
      <c r="G118" s="76">
        <f>F118*1.05</f>
        <v>4185.3</v>
      </c>
      <c r="H118" s="76">
        <f>G118*1.05</f>
        <v>4394.5650000000005</v>
      </c>
      <c r="I118" s="76">
        <f>H118*1.05</f>
        <v>4614.293250000001</v>
      </c>
      <c r="J118" s="76">
        <f>I118*1.05</f>
        <v>4845.007912500001</v>
      </c>
      <c r="K118" s="76">
        <f>J118*1.05</f>
        <v>5087.258308125001</v>
      </c>
      <c r="L118" s="76">
        <f>SUM(E118:K118)</f>
        <v>31773.424470625003</v>
      </c>
      <c r="M118" s="75"/>
    </row>
    <row r="119" spans="1:13" ht="12.75" hidden="1">
      <c r="A119" t="s">
        <v>109</v>
      </c>
      <c r="D119" s="74"/>
      <c r="E119" s="9">
        <f aca="true" t="shared" si="5" ref="E119:K119">SUM(E52:E61)</f>
        <v>1422</v>
      </c>
      <c r="F119" s="9" t="e">
        <f t="shared" si="5"/>
        <v>#REF!</v>
      </c>
      <c r="G119" s="9">
        <f t="shared" si="5"/>
        <v>2300</v>
      </c>
      <c r="H119" s="9">
        <f t="shared" si="5"/>
        <v>2415</v>
      </c>
      <c r="I119" s="9">
        <f t="shared" si="5"/>
        <v>2535.75</v>
      </c>
      <c r="J119" s="9">
        <f t="shared" si="5"/>
        <v>1500</v>
      </c>
      <c r="K119" s="9">
        <f t="shared" si="5"/>
        <v>1200</v>
      </c>
      <c r="L119" s="76" t="e">
        <f>SUM(E119:K119)</f>
        <v>#REF!</v>
      </c>
      <c r="M119" s="75"/>
    </row>
    <row r="120" spans="1:13" ht="12.75" hidden="1">
      <c r="A120" t="s">
        <v>110</v>
      </c>
      <c r="D120" s="74"/>
      <c r="E120" s="77">
        <f>E91+E94+70</f>
        <v>119</v>
      </c>
      <c r="F120" s="78">
        <f aca="true" t="shared" si="6" ref="F120:K120">F91+F94</f>
        <v>384</v>
      </c>
      <c r="G120" s="78">
        <f t="shared" si="6"/>
        <v>584</v>
      </c>
      <c r="H120" s="78">
        <f t="shared" si="6"/>
        <v>511</v>
      </c>
      <c r="I120" s="78">
        <f t="shared" si="6"/>
        <v>371</v>
      </c>
      <c r="J120" s="78">
        <f t="shared" si="6"/>
        <v>0</v>
      </c>
      <c r="K120" s="78">
        <f t="shared" si="6"/>
        <v>0</v>
      </c>
      <c r="L120" s="76">
        <f>SUM(E120:K120)</f>
        <v>1969</v>
      </c>
      <c r="M120" s="75"/>
    </row>
    <row r="121" spans="4:13" ht="12.75" hidden="1">
      <c r="D121" s="74"/>
      <c r="E121" s="75"/>
      <c r="F121" s="75"/>
      <c r="G121" s="75"/>
      <c r="H121" s="75"/>
      <c r="I121" s="75"/>
      <c r="J121" s="75"/>
      <c r="K121" s="75"/>
      <c r="L121" s="79"/>
      <c r="M121" s="75"/>
    </row>
    <row r="122" spans="1:13" ht="13.5" hidden="1" thickBot="1">
      <c r="A122" t="s">
        <v>111</v>
      </c>
      <c r="D122" s="74"/>
      <c r="E122" s="80">
        <f aca="true" t="shared" si="7" ref="E122:K122">E118+E119+E120</f>
        <v>6202</v>
      </c>
      <c r="F122" s="80" t="e">
        <f t="shared" si="7"/>
        <v>#REF!</v>
      </c>
      <c r="G122" s="80">
        <f t="shared" si="7"/>
        <v>7069.3</v>
      </c>
      <c r="H122" s="80">
        <f t="shared" si="7"/>
        <v>7320.5650000000005</v>
      </c>
      <c r="I122" s="80">
        <f t="shared" si="7"/>
        <v>7521.043250000001</v>
      </c>
      <c r="J122" s="80">
        <f t="shared" si="7"/>
        <v>6345.007912500001</v>
      </c>
      <c r="K122" s="80">
        <f t="shared" si="7"/>
        <v>6287.258308125001</v>
      </c>
      <c r="L122" s="81" t="e">
        <f>SUM(E122:K122)</f>
        <v>#REF!</v>
      </c>
      <c r="M122" s="75"/>
    </row>
    <row r="123" spans="4:13" ht="13.5" hidden="1" thickTop="1">
      <c r="D123" s="74"/>
      <c r="E123" s="75"/>
      <c r="F123" s="75"/>
      <c r="G123" s="75"/>
      <c r="H123" s="75"/>
      <c r="I123" s="75"/>
      <c r="J123" s="75"/>
      <c r="K123" s="75"/>
      <c r="L123" s="75"/>
      <c r="M123" s="75"/>
    </row>
    <row r="124" spans="1:13" ht="12.75" hidden="1">
      <c r="A124" t="s">
        <v>112</v>
      </c>
      <c r="C124" s="82"/>
      <c r="D124" s="74"/>
      <c r="E124" s="83">
        <f>SUM(E64:E85)+E92+E95</f>
        <v>2188</v>
      </c>
      <c r="F124" s="83">
        <f>SUM(F64:F81)+F92+F95</f>
        <v>1548</v>
      </c>
      <c r="G124" s="83">
        <f>SUM(G64:G78)+G92+G95</f>
        <v>2970</v>
      </c>
      <c r="H124" s="83">
        <f>SUM(H64:H78)+H92+H95</f>
        <v>2231</v>
      </c>
      <c r="I124" s="83">
        <f>SUM(I64:I78)+I92+I95</f>
        <v>1711</v>
      </c>
      <c r="J124" s="83">
        <f>SUM(J64:J78)+J92+J95</f>
        <v>1610</v>
      </c>
      <c r="K124" s="83">
        <f>SUM(K64:K78)+K92+K95</f>
        <v>1673</v>
      </c>
      <c r="L124" s="83">
        <f>SUM(E124:K124)</f>
        <v>13931</v>
      </c>
      <c r="M124" s="75"/>
    </row>
    <row r="125" spans="3:13" ht="12.75" hidden="1">
      <c r="C125" s="82" t="s">
        <v>113</v>
      </c>
      <c r="D125" s="74" t="s">
        <v>114</v>
      </c>
      <c r="E125" s="9">
        <f aca="true" t="shared" si="8" ref="E125:K125">SUM(E66:E77)+E64+E92+E95</f>
        <v>2161</v>
      </c>
      <c r="F125" s="9">
        <f t="shared" si="8"/>
        <v>1518</v>
      </c>
      <c r="G125" s="9">
        <f t="shared" si="8"/>
        <v>2970</v>
      </c>
      <c r="H125" s="9">
        <f t="shared" si="8"/>
        <v>2231</v>
      </c>
      <c r="I125" s="9">
        <f t="shared" si="8"/>
        <v>1711</v>
      </c>
      <c r="J125" s="9">
        <f t="shared" si="8"/>
        <v>1500</v>
      </c>
      <c r="K125" s="9">
        <f t="shared" si="8"/>
        <v>1373</v>
      </c>
      <c r="L125" s="9">
        <f>SUM(E125:K125)</f>
        <v>13464</v>
      </c>
      <c r="M125" s="75"/>
    </row>
    <row r="126" spans="3:13" ht="12.75" hidden="1">
      <c r="C126" s="82" t="s">
        <v>115</v>
      </c>
      <c r="D126" s="74" t="s">
        <v>116</v>
      </c>
      <c r="E126" s="9">
        <f aca="true" t="shared" si="9" ref="E126:K126">SUM(E66:E78)+E64+E92+E95</f>
        <v>2161</v>
      </c>
      <c r="F126" s="9">
        <f t="shared" si="9"/>
        <v>1518</v>
      </c>
      <c r="G126" s="9">
        <f t="shared" si="9"/>
        <v>2970</v>
      </c>
      <c r="H126" s="9">
        <f t="shared" si="9"/>
        <v>2231</v>
      </c>
      <c r="I126" s="9">
        <f t="shared" si="9"/>
        <v>1711</v>
      </c>
      <c r="J126" s="9">
        <f t="shared" si="9"/>
        <v>1610</v>
      </c>
      <c r="K126" s="9">
        <f t="shared" si="9"/>
        <v>1673</v>
      </c>
      <c r="L126" s="9">
        <f>SUM(E126:K126)</f>
        <v>13874</v>
      </c>
      <c r="M126" s="75"/>
    </row>
    <row r="127" spans="4:13" ht="12.75" hidden="1">
      <c r="D127" s="74"/>
      <c r="E127" s="78"/>
      <c r="F127" s="78"/>
      <c r="G127" s="78"/>
      <c r="H127" s="78"/>
      <c r="I127" s="78"/>
      <c r="J127" s="78"/>
      <c r="K127" s="78"/>
      <c r="L127" s="84"/>
      <c r="M127" s="75"/>
    </row>
    <row r="128" spans="4:13" ht="12.75" hidden="1">
      <c r="D128" s="74"/>
      <c r="E128" s="75"/>
      <c r="F128" s="75"/>
      <c r="G128" s="75"/>
      <c r="H128" s="75"/>
      <c r="I128" s="75"/>
      <c r="J128" s="75"/>
      <c r="K128" s="75"/>
      <c r="L128" s="75"/>
      <c r="M128" s="75"/>
    </row>
    <row r="129" spans="1:13" ht="12.75" hidden="1">
      <c r="A129" t="s">
        <v>117</v>
      </c>
      <c r="D129" s="74"/>
      <c r="E129" s="85">
        <f>E124/$E$122</f>
        <v>0.3527894227668494</v>
      </c>
      <c r="F129" s="85" t="e">
        <f>F124/$F$122</f>
        <v>#REF!</v>
      </c>
      <c r="G129" s="85">
        <f>G124/$G$122</f>
        <v>0.4201264623088566</v>
      </c>
      <c r="H129" s="85">
        <f>H124/$H$122</f>
        <v>0.3047578977852119</v>
      </c>
      <c r="I129" s="43">
        <f>I124/$I$122</f>
        <v>0.22749503534632642</v>
      </c>
      <c r="J129" s="85">
        <f>J124/$J$122</f>
        <v>0.25374278837828</v>
      </c>
      <c r="K129" s="85">
        <f>K124/$K$122</f>
        <v>0.266093727664726</v>
      </c>
      <c r="L129" s="85" t="e">
        <f>L124/$L$122</f>
        <v>#REF!</v>
      </c>
      <c r="M129" s="75"/>
    </row>
    <row r="130" spans="4:13" ht="12.75" hidden="1">
      <c r="D130" s="74"/>
      <c r="E130" s="43">
        <f>E125/$E$122</f>
        <v>0.34843598839084167</v>
      </c>
      <c r="F130" s="43" t="e">
        <f>F125/$F$122</f>
        <v>#REF!</v>
      </c>
      <c r="G130" s="43">
        <f>G125/$G$122</f>
        <v>0.4201264623088566</v>
      </c>
      <c r="H130" s="43">
        <f>H125/$H$122</f>
        <v>0.3047578977852119</v>
      </c>
      <c r="I130" s="43">
        <f>I125/$I$122</f>
        <v>0.22749503534632642</v>
      </c>
      <c r="J130" s="43">
        <f>J125/$J$122</f>
        <v>0.23640632457603727</v>
      </c>
      <c r="K130" s="43">
        <f>K125/$K$122</f>
        <v>0.2183781757822288</v>
      </c>
      <c r="L130" s="43" t="e">
        <f>L125/$L$122</f>
        <v>#REF!</v>
      </c>
      <c r="M130" s="75"/>
    </row>
    <row r="131" spans="4:13" ht="12.75" hidden="1">
      <c r="D131" s="74"/>
      <c r="E131" s="43">
        <f>E126/$E$122</f>
        <v>0.34843598839084167</v>
      </c>
      <c r="F131" s="43" t="e">
        <f>F126/$F$122</f>
        <v>#REF!</v>
      </c>
      <c r="G131" s="43">
        <f>G126/$G$122</f>
        <v>0.4201264623088566</v>
      </c>
      <c r="H131" s="43">
        <f>H126/$H$122</f>
        <v>0.3047578977852119</v>
      </c>
      <c r="I131" s="43">
        <f>I126/$I$122</f>
        <v>0.22749503534632642</v>
      </c>
      <c r="J131" s="43">
        <f>J126/$J$122</f>
        <v>0.25374278837828</v>
      </c>
      <c r="K131" s="43">
        <f>K126/$K$122</f>
        <v>0.266093727664726</v>
      </c>
      <c r="L131" s="43" t="e">
        <f>L126/$L$122</f>
        <v>#REF!</v>
      </c>
      <c r="M131" s="75"/>
    </row>
    <row r="132" spans="4:13" ht="12.75" hidden="1">
      <c r="D132" s="75"/>
      <c r="E132" s="75"/>
      <c r="F132" s="75"/>
      <c r="G132" s="75"/>
      <c r="H132" s="75"/>
      <c r="I132" s="75"/>
      <c r="J132" s="75"/>
      <c r="K132" s="75"/>
      <c r="L132" s="75"/>
      <c r="M132" s="75"/>
    </row>
    <row r="133" spans="1:13" ht="12.75" hidden="1">
      <c r="A133" t="s">
        <v>118</v>
      </c>
      <c r="D133" s="75"/>
      <c r="E133" s="86">
        <f>E124*0</f>
        <v>0</v>
      </c>
      <c r="F133" s="86">
        <f>F124*0.05</f>
        <v>77.4</v>
      </c>
      <c r="G133" s="86">
        <f>G124*0.05</f>
        <v>148.5</v>
      </c>
      <c r="H133" s="86">
        <f>H124*0.05</f>
        <v>111.55000000000001</v>
      </c>
      <c r="I133" s="86">
        <f>I124*0.05</f>
        <v>85.55000000000001</v>
      </c>
      <c r="J133" s="86">
        <f>J124*0</f>
        <v>0</v>
      </c>
      <c r="K133" s="86">
        <f>K124*0</f>
        <v>0</v>
      </c>
      <c r="L133" s="86">
        <f>SUM(E133:K133)</f>
        <v>423.00000000000006</v>
      </c>
      <c r="M133" s="75"/>
    </row>
    <row r="134" ht="12.75" hidden="1"/>
    <row r="135" spans="1:12" ht="12.75" hidden="1">
      <c r="A135" t="s">
        <v>119</v>
      </c>
      <c r="E135" s="1">
        <f aca="true" t="shared" si="10" ref="E135:K135">E119+E120+E124</f>
        <v>3729</v>
      </c>
      <c r="F135" s="1" t="e">
        <f t="shared" si="10"/>
        <v>#REF!</v>
      </c>
      <c r="G135" s="1">
        <f t="shared" si="10"/>
        <v>5854</v>
      </c>
      <c r="H135" s="1">
        <f t="shared" si="10"/>
        <v>5157</v>
      </c>
      <c r="I135" s="1">
        <f t="shared" si="10"/>
        <v>4617.75</v>
      </c>
      <c r="J135" s="1">
        <f t="shared" si="10"/>
        <v>3110</v>
      </c>
      <c r="K135" s="1">
        <f t="shared" si="10"/>
        <v>2873</v>
      </c>
      <c r="L135" s="1" t="e">
        <f>SUM(E135:K135)</f>
        <v>#REF!</v>
      </c>
    </row>
    <row r="136" spans="1:12" ht="12.75" hidden="1">
      <c r="A136" t="s">
        <v>120</v>
      </c>
      <c r="E136" s="1">
        <f aca="true" t="shared" si="11" ref="E136:K136">E119+E120</f>
        <v>1541</v>
      </c>
      <c r="F136" s="1" t="e">
        <f t="shared" si="11"/>
        <v>#REF!</v>
      </c>
      <c r="G136" s="1">
        <f t="shared" si="11"/>
        <v>2884</v>
      </c>
      <c r="H136" s="1">
        <f t="shared" si="11"/>
        <v>2926</v>
      </c>
      <c r="I136" s="1">
        <f t="shared" si="11"/>
        <v>2906.75</v>
      </c>
      <c r="J136" s="1">
        <f t="shared" si="11"/>
        <v>1500</v>
      </c>
      <c r="K136" s="1">
        <f t="shared" si="11"/>
        <v>1200</v>
      </c>
      <c r="L136" s="1" t="e">
        <f>SUM(E136:K136)</f>
        <v>#REF!</v>
      </c>
    </row>
    <row r="137" spans="1:12" ht="12.75" hidden="1">
      <c r="A137" t="s">
        <v>121</v>
      </c>
      <c r="E137" s="31">
        <f aca="true" t="shared" si="12" ref="E137:K137">E133</f>
        <v>0</v>
      </c>
      <c r="F137" s="31">
        <f t="shared" si="12"/>
        <v>77.4</v>
      </c>
      <c r="G137" s="31">
        <f t="shared" si="12"/>
        <v>148.5</v>
      </c>
      <c r="H137" s="31">
        <f t="shared" si="12"/>
        <v>111.55000000000001</v>
      </c>
      <c r="I137" s="31">
        <f t="shared" si="12"/>
        <v>85.55000000000001</v>
      </c>
      <c r="J137" s="31">
        <f t="shared" si="12"/>
        <v>0</v>
      </c>
      <c r="K137" s="31">
        <f t="shared" si="12"/>
        <v>0</v>
      </c>
      <c r="L137" s="1">
        <f>SUM(E137:K137)</f>
        <v>423.00000000000006</v>
      </c>
    </row>
    <row r="138" spans="1:12" ht="12.75" hidden="1">
      <c r="A138" t="s">
        <v>89</v>
      </c>
      <c r="E138" s="1">
        <f aca="true" t="shared" si="13" ref="E138:K138">E124-E137</f>
        <v>2188</v>
      </c>
      <c r="F138" s="1">
        <f t="shared" si="13"/>
        <v>1470.6</v>
      </c>
      <c r="G138" s="1">
        <f t="shared" si="13"/>
        <v>2821.5</v>
      </c>
      <c r="H138" s="1">
        <f t="shared" si="13"/>
        <v>2119.45</v>
      </c>
      <c r="I138" s="1">
        <f t="shared" si="13"/>
        <v>1625.45</v>
      </c>
      <c r="J138" s="1">
        <f t="shared" si="13"/>
        <v>1610</v>
      </c>
      <c r="K138" s="1">
        <f t="shared" si="13"/>
        <v>1673</v>
      </c>
      <c r="L138" s="1">
        <f>SUM(E138:K138)</f>
        <v>13508</v>
      </c>
    </row>
    <row r="139" spans="5:11" ht="12.75" hidden="1">
      <c r="E139" s="1">
        <f aca="true" t="shared" si="14" ref="E139:K139">SUM(E136:E138)</f>
        <v>3729</v>
      </c>
      <c r="F139" s="1" t="e">
        <f t="shared" si="14"/>
        <v>#REF!</v>
      </c>
      <c r="G139" s="1">
        <f t="shared" si="14"/>
        <v>5854</v>
      </c>
      <c r="H139" s="1">
        <f t="shared" si="14"/>
        <v>5157</v>
      </c>
      <c r="I139" s="1">
        <f t="shared" si="14"/>
        <v>4617.75</v>
      </c>
      <c r="J139" s="1">
        <f t="shared" si="14"/>
        <v>3110</v>
      </c>
      <c r="K139" s="1">
        <f t="shared" si="14"/>
        <v>2873</v>
      </c>
    </row>
    <row r="140" ht="12.75" hidden="1">
      <c r="E140" s="1"/>
    </row>
    <row r="141" ht="15.75" hidden="1">
      <c r="A141" s="72" t="s">
        <v>122</v>
      </c>
    </row>
    <row r="142" ht="12.75" hidden="1"/>
    <row r="143" ht="12.75" hidden="1">
      <c r="A143" s="7" t="s">
        <v>123</v>
      </c>
    </row>
    <row r="144" ht="12.75" hidden="1">
      <c r="A144" t="s">
        <v>124</v>
      </c>
    </row>
    <row r="145" ht="12.75" hidden="1">
      <c r="A145" s="7" t="s">
        <v>125</v>
      </c>
    </row>
    <row r="146" ht="12.75" hidden="1">
      <c r="A146" t="s">
        <v>126</v>
      </c>
    </row>
    <row r="147" ht="12.75" hidden="1">
      <c r="A147" s="7" t="s">
        <v>127</v>
      </c>
    </row>
    <row r="148" ht="12.75" hidden="1">
      <c r="A148" t="s">
        <v>126</v>
      </c>
    </row>
    <row r="149" ht="12.75" hidden="1">
      <c r="A149" s="7" t="s">
        <v>128</v>
      </c>
    </row>
    <row r="150" ht="12.75" hidden="1">
      <c r="A150" s="87" t="s">
        <v>129</v>
      </c>
    </row>
    <row r="151" ht="12.75" hidden="1">
      <c r="A151" s="87" t="s">
        <v>130</v>
      </c>
    </row>
    <row r="152" ht="12.75" hidden="1"/>
    <row r="153" ht="12.75" hidden="1"/>
    <row r="154" ht="12.75" hidden="1"/>
    <row r="155" ht="12.75" hidden="1"/>
    <row r="156" ht="12.75" hidden="1"/>
    <row r="157" ht="12.75">
      <c r="A157" t="s">
        <v>131</v>
      </c>
    </row>
    <row r="158" spans="1:9" ht="15">
      <c r="A158" s="88" t="s">
        <v>132</v>
      </c>
      <c r="I158" s="1"/>
    </row>
    <row r="159" ht="15">
      <c r="A159" s="88" t="s">
        <v>133</v>
      </c>
    </row>
    <row r="160" ht="15">
      <c r="A160" s="88" t="s">
        <v>134</v>
      </c>
    </row>
    <row r="161" ht="15">
      <c r="A161" s="88" t="s">
        <v>135</v>
      </c>
    </row>
    <row r="162" ht="15">
      <c r="A162" s="88" t="s">
        <v>136</v>
      </c>
    </row>
    <row r="163" ht="15">
      <c r="A163" s="88" t="s">
        <v>137</v>
      </c>
    </row>
    <row r="164" ht="15">
      <c r="A164" s="88" t="s">
        <v>138</v>
      </c>
    </row>
    <row r="165" ht="15">
      <c r="A165" s="88" t="s">
        <v>139</v>
      </c>
    </row>
    <row r="166" ht="15">
      <c r="A166" s="88" t="s">
        <v>140</v>
      </c>
    </row>
    <row r="167" ht="15">
      <c r="A167" s="88"/>
    </row>
  </sheetData>
  <mergeCells count="4">
    <mergeCell ref="A2:L2"/>
    <mergeCell ref="A3:L3"/>
    <mergeCell ref="A5:L5"/>
    <mergeCell ref="A4:K4"/>
  </mergeCells>
  <printOptions/>
  <pageMargins left="1.25" right="0.5" top="0.5" bottom="0.5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CSIRO Exploration and Mining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cam335</dc:creator>
  <cp:keywords/>
  <dc:description/>
  <cp:lastModifiedBy>cam335</cp:lastModifiedBy>
  <dcterms:created xsi:type="dcterms:W3CDTF">2003-10-10T02:35:20Z</dcterms:created>
  <dcterms:modified xsi:type="dcterms:W3CDTF">2003-10-10T02:38:40Z</dcterms:modified>
  <cp:category/>
  <cp:version/>
  <cp:contentType/>
  <cp:contentStatus/>
</cp:coreProperties>
</file>